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fredrik/Dropbox/Brynjan Fastighetsförening/Underhåll, besiktning, tillsyn/Underhållsplan 2021-2052/"/>
    </mc:Choice>
  </mc:AlternateContent>
  <xr:revisionPtr revIDLastSave="0" documentId="13_ncr:1_{5444AAAF-B243-A94A-A2A1-F768BB414631}" xr6:coauthVersionLast="47" xr6:coauthVersionMax="47" xr10:uidLastSave="{00000000-0000-0000-0000-000000000000}"/>
  <bookViews>
    <workbookView xWindow="0" yWindow="0" windowWidth="28800" windowHeight="18000" xr2:uid="{00000000-000D-0000-FFFF-FFFF00000000}"/>
  </bookViews>
  <sheets>
    <sheet name="Underhållsplan" sheetId="1" r:id="rId1"/>
  </sheets>
  <definedNames>
    <definedName name="_xlnm._FilterDatabase" localSheetId="0" hidden="1">Underhållsplan!$A$11:$AK$231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6" i="1" l="1"/>
  <c r="K243" i="1"/>
  <c r="K239" i="1"/>
  <c r="M231" i="1"/>
  <c r="H231" i="1"/>
  <c r="K229" i="1"/>
  <c r="M229" i="1" s="1"/>
  <c r="M228" i="1"/>
  <c r="L221" i="1"/>
  <c r="M221" i="1" s="1"/>
  <c r="H221" i="1"/>
  <c r="M220" i="1"/>
  <c r="M219" i="1"/>
  <c r="M215" i="1"/>
  <c r="M211" i="1"/>
  <c r="M209" i="1"/>
  <c r="L209" i="1"/>
  <c r="M204" i="1"/>
  <c r="M203" i="1"/>
  <c r="M188" i="1"/>
  <c r="M187" i="1"/>
  <c r="M186" i="1"/>
  <c r="M185" i="1"/>
  <c r="M184" i="1"/>
  <c r="H184" i="1"/>
  <c r="H185" i="1" s="1"/>
  <c r="H186" i="1" s="1"/>
  <c r="H187" i="1" s="1"/>
  <c r="H188" i="1" s="1"/>
  <c r="M183" i="1"/>
  <c r="H183" i="1"/>
  <c r="M182" i="1"/>
  <c r="H182" i="1"/>
  <c r="M181" i="1"/>
  <c r="M179" i="1"/>
  <c r="H179" i="1"/>
  <c r="H178" i="1"/>
  <c r="M177" i="1"/>
  <c r="H177" i="1"/>
  <c r="M176" i="1"/>
  <c r="K176" i="1"/>
  <c r="H176" i="1"/>
  <c r="K172" i="1"/>
  <c r="K171" i="1"/>
  <c r="K170" i="1"/>
  <c r="F170" i="1"/>
  <c r="F171" i="1" s="1"/>
  <c r="F172" i="1" s="1"/>
  <c r="K169" i="1"/>
  <c r="F169" i="1"/>
  <c r="K168" i="1"/>
  <c r="F168" i="1"/>
  <c r="M167" i="1"/>
  <c r="K167" i="1"/>
  <c r="M166" i="1"/>
  <c r="K166" i="1"/>
  <c r="K165" i="1"/>
  <c r="M165" i="1" s="1"/>
  <c r="K164" i="1"/>
  <c r="M164" i="1" s="1"/>
  <c r="F164" i="1"/>
  <c r="F165" i="1" s="1"/>
  <c r="F166" i="1" s="1"/>
  <c r="F167" i="1" s="1"/>
  <c r="K163" i="1"/>
  <c r="M163" i="1" s="1"/>
  <c r="F163" i="1"/>
  <c r="M162" i="1"/>
  <c r="H162" i="1"/>
  <c r="M161" i="1"/>
  <c r="H158" i="1"/>
  <c r="M157" i="1"/>
  <c r="K157" i="1"/>
  <c r="H157" i="1"/>
  <c r="M154" i="1"/>
  <c r="H154" i="1"/>
  <c r="M153" i="1"/>
  <c r="M152" i="1"/>
  <c r="M151" i="1"/>
  <c r="M150" i="1"/>
  <c r="H150" i="1"/>
  <c r="M149" i="1"/>
  <c r="M148" i="1"/>
  <c r="H148" i="1"/>
  <c r="H152" i="1" s="1"/>
  <c r="M147" i="1"/>
  <c r="L146" i="1"/>
  <c r="H146" i="1"/>
  <c r="M145" i="1"/>
  <c r="M144" i="1"/>
  <c r="M143" i="1"/>
  <c r="M142" i="1"/>
  <c r="H142" i="1"/>
  <c r="M141" i="1"/>
  <c r="H141" i="1"/>
  <c r="M140" i="1"/>
  <c r="M139" i="1"/>
  <c r="H139" i="1"/>
  <c r="H145" i="1" s="1"/>
  <c r="M138" i="1"/>
  <c r="H138" i="1"/>
  <c r="H149" i="1" s="1"/>
  <c r="M137" i="1"/>
  <c r="H137" i="1"/>
  <c r="M136" i="1"/>
  <c r="F136" i="1"/>
  <c r="F140" i="1" s="1"/>
  <c r="F143" i="1" s="1"/>
  <c r="F144" i="1" s="1"/>
  <c r="F147" i="1" s="1"/>
  <c r="F151" i="1" s="1"/>
  <c r="F153" i="1" s="1"/>
  <c r="L134" i="1"/>
  <c r="M134" i="1" s="1"/>
  <c r="L133" i="1"/>
  <c r="M133" i="1" s="1"/>
  <c r="F133" i="1"/>
  <c r="F134" i="1" s="1"/>
  <c r="L132" i="1"/>
  <c r="M132" i="1" s="1"/>
  <c r="F132" i="1"/>
  <c r="M129" i="1"/>
  <c r="K129" i="1"/>
  <c r="H129" i="1"/>
  <c r="M128" i="1"/>
  <c r="K128" i="1"/>
  <c r="H128" i="1"/>
  <c r="M127" i="1"/>
  <c r="M126" i="1"/>
  <c r="M125" i="1"/>
  <c r="H125" i="1"/>
  <c r="M124" i="1"/>
  <c r="H124" i="1"/>
  <c r="M123" i="1"/>
  <c r="M122" i="1"/>
  <c r="M121" i="1"/>
  <c r="H121" i="1"/>
  <c r="M120" i="1"/>
  <c r="H120" i="1"/>
  <c r="M119" i="1"/>
  <c r="H119" i="1"/>
  <c r="M118" i="1"/>
  <c r="H118" i="1"/>
  <c r="H123" i="1" s="1"/>
  <c r="H127" i="1" s="1"/>
  <c r="M116" i="1"/>
  <c r="H116" i="1"/>
  <c r="H122" i="1" s="1"/>
  <c r="H126" i="1" s="1"/>
  <c r="M113" i="1"/>
  <c r="M112" i="1"/>
  <c r="M111" i="1"/>
  <c r="M110" i="1"/>
  <c r="F110" i="1"/>
  <c r="F111" i="1" s="1"/>
  <c r="F112" i="1" s="1"/>
  <c r="F113" i="1" s="1"/>
  <c r="M109" i="1"/>
  <c r="F109" i="1"/>
  <c r="M108" i="1"/>
  <c r="M107" i="1"/>
  <c r="M106" i="1"/>
  <c r="K106" i="1"/>
  <c r="M105" i="1"/>
  <c r="K105" i="1"/>
  <c r="M104" i="1"/>
  <c r="K104" i="1"/>
  <c r="H104" i="1"/>
  <c r="F105" i="1" s="1"/>
  <c r="F106" i="1" s="1"/>
  <c r="K103" i="1"/>
  <c r="M103" i="1" s="1"/>
  <c r="K102" i="1"/>
  <c r="M102" i="1" s="1"/>
  <c r="F102" i="1"/>
  <c r="F103" i="1" s="1"/>
  <c r="L98" i="1"/>
  <c r="M98" i="1" s="1"/>
  <c r="L97" i="1"/>
  <c r="M97" i="1" s="1"/>
  <c r="H97" i="1"/>
  <c r="H98" i="1" s="1"/>
  <c r="L92" i="1"/>
  <c r="M92" i="1" s="1"/>
  <c r="M91" i="1"/>
  <c r="L91" i="1"/>
  <c r="F91" i="1"/>
  <c r="M90" i="1"/>
  <c r="L90" i="1"/>
  <c r="F90" i="1"/>
  <c r="F92" i="1" s="1"/>
  <c r="M89" i="1"/>
  <c r="L89" i="1"/>
  <c r="M87" i="1"/>
  <c r="L87" i="1"/>
  <c r="F87" i="1"/>
  <c r="M86" i="1"/>
  <c r="L86" i="1"/>
  <c r="F86" i="1"/>
  <c r="M85" i="1"/>
  <c r="L85" i="1"/>
  <c r="M82" i="1"/>
  <c r="L82" i="1"/>
  <c r="F82" i="1"/>
  <c r="M81" i="1"/>
  <c r="L81" i="1"/>
  <c r="F81" i="1"/>
  <c r="M80" i="1"/>
  <c r="L80" i="1"/>
  <c r="H80" i="1"/>
  <c r="L79" i="1"/>
  <c r="M79" i="1" s="1"/>
  <c r="M78" i="1"/>
  <c r="H78" i="1"/>
  <c r="M77" i="1"/>
  <c r="H77" i="1"/>
  <c r="M76" i="1"/>
  <c r="H76" i="1"/>
  <c r="M75" i="1"/>
  <c r="H75" i="1"/>
  <c r="M74" i="1"/>
  <c r="H74" i="1"/>
  <c r="M73" i="1"/>
  <c r="H73" i="1"/>
  <c r="M72" i="1"/>
  <c r="H72" i="1"/>
  <c r="M71" i="1"/>
  <c r="H71" i="1"/>
  <c r="M70" i="1"/>
  <c r="H70" i="1"/>
  <c r="L69" i="1"/>
  <c r="M69" i="1" s="1"/>
  <c r="F69" i="1"/>
  <c r="M68" i="1"/>
  <c r="L68" i="1"/>
  <c r="F68" i="1"/>
  <c r="M67" i="1"/>
  <c r="L67" i="1"/>
  <c r="F67" i="1"/>
  <c r="M65" i="1"/>
  <c r="L65" i="1"/>
  <c r="F65" i="1"/>
  <c r="L64" i="1"/>
  <c r="M64" i="1" s="1"/>
  <c r="M63" i="1"/>
  <c r="L63" i="1"/>
  <c r="K63" i="1"/>
  <c r="F63" i="1"/>
  <c r="L62" i="1"/>
  <c r="M62" i="1" s="1"/>
  <c r="K62" i="1"/>
  <c r="F62" i="1"/>
  <c r="M60" i="1"/>
  <c r="L60" i="1"/>
  <c r="F60" i="1"/>
  <c r="M59" i="1"/>
  <c r="L59" i="1"/>
  <c r="M53" i="1"/>
  <c r="L53" i="1"/>
  <c r="F53" i="1"/>
  <c r="M52" i="1"/>
  <c r="L52" i="1"/>
  <c r="F52" i="1"/>
  <c r="M51" i="1"/>
  <c r="H264" i="1" s="1"/>
  <c r="M50" i="1"/>
  <c r="M49" i="1"/>
  <c r="L48" i="1"/>
  <c r="M48" i="1" s="1"/>
  <c r="M46" i="1"/>
  <c r="L46" i="1"/>
  <c r="F46" i="1"/>
  <c r="M45" i="1"/>
  <c r="L45" i="1"/>
  <c r="M44" i="1"/>
  <c r="L43" i="1"/>
  <c r="M43" i="1" s="1"/>
  <c r="M41" i="1"/>
  <c r="L41" i="1"/>
  <c r="M40" i="1"/>
  <c r="L40" i="1"/>
  <c r="F40" i="1"/>
  <c r="F41" i="1" s="1"/>
  <c r="M39" i="1"/>
  <c r="M38" i="1"/>
  <c r="M37" i="1"/>
  <c r="F37" i="1"/>
  <c r="F38" i="1" s="1"/>
  <c r="F39" i="1" s="1"/>
  <c r="M36" i="1"/>
  <c r="F36" i="1"/>
  <c r="M35" i="1"/>
  <c r="F35" i="1"/>
  <c r="M34" i="1"/>
  <c r="M33" i="1"/>
  <c r="M32" i="1"/>
  <c r="F32" i="1"/>
  <c r="L30" i="1"/>
  <c r="M30" i="1" s="1"/>
  <c r="M29" i="1"/>
  <c r="M28" i="1"/>
  <c r="M27" i="1"/>
  <c r="F27" i="1"/>
  <c r="M26" i="1"/>
  <c r="M25" i="1"/>
  <c r="F25" i="1"/>
  <c r="M24" i="1"/>
  <c r="M23" i="1"/>
  <c r="H23" i="1"/>
  <c r="M22" i="1"/>
  <c r="F22" i="1"/>
  <c r="M21" i="1"/>
  <c r="M20" i="1"/>
  <c r="M19" i="1"/>
  <c r="M18" i="1"/>
  <c r="M17" i="1"/>
  <c r="M16" i="1"/>
  <c r="F16" i="1"/>
  <c r="M15" i="1"/>
  <c r="M14" i="1"/>
  <c r="M13" i="1"/>
  <c r="M12" i="1"/>
  <c r="H273" i="1" l="1"/>
  <c r="H310" i="1"/>
  <c r="H325" i="1"/>
  <c r="H334" i="1"/>
  <c r="H285" i="1"/>
  <c r="H270" i="1"/>
  <c r="H294" i="1"/>
  <c r="H319" i="1"/>
  <c r="H261" i="1"/>
  <c r="F17" i="1"/>
  <c r="H255" i="1"/>
  <c r="H279" i="1"/>
  <c r="H303" i="1"/>
  <c r="H328" i="1"/>
  <c r="H288" i="1"/>
  <c r="H313" i="1"/>
  <c r="H337" i="1"/>
  <c r="H297" i="1"/>
  <c r="H322" i="1"/>
  <c r="H249" i="1"/>
  <c r="H258" i="1"/>
  <c r="H282" i="1"/>
  <c r="H307" i="1"/>
  <c r="H331" i="1"/>
  <c r="H267" i="1"/>
  <c r="H291" i="1"/>
  <c r="H316" i="1"/>
  <c r="H340" i="1"/>
  <c r="H252" i="1"/>
  <c r="H276" i="1"/>
  <c r="H300" i="1"/>
  <c r="F18" i="1" l="1"/>
  <c r="F19" i="1" l="1"/>
  <c r="H336" i="1"/>
  <c r="K337" i="1" s="1"/>
  <c r="H302" i="1"/>
  <c r="K303" i="1" s="1"/>
  <c r="H269" i="1"/>
  <c r="K270" i="1" s="1"/>
  <c r="H260" i="1"/>
  <c r="K261" i="1" s="1"/>
  <c r="H299" i="1"/>
  <c r="K300" i="1" s="1"/>
  <c r="H330" i="1"/>
  <c r="K331" i="1" s="1"/>
  <c r="H339" i="1"/>
  <c r="K340" i="1" s="1"/>
  <c r="H312" i="1"/>
  <c r="K313" i="1" s="1"/>
  <c r="H272" i="1"/>
  <c r="K273" i="1" s="1"/>
  <c r="H306" i="1"/>
  <c r="K307" i="1" s="1"/>
  <c r="H290" i="1"/>
  <c r="K291" i="1" s="1"/>
  <c r="H296" i="1"/>
  <c r="K297" i="1" s="1"/>
  <c r="H324" i="1"/>
  <c r="K325" i="1" s="1"/>
  <c r="H287" i="1"/>
  <c r="K288" i="1" s="1"/>
  <c r="H327" i="1"/>
  <c r="K328" i="1" s="1"/>
  <c r="H321" i="1"/>
  <c r="K322" i="1" s="1"/>
  <c r="H257" i="1"/>
  <c r="K258" i="1" s="1"/>
  <c r="H293" i="1"/>
  <c r="K294" i="1" s="1"/>
  <c r="H263" i="1"/>
  <c r="K264" i="1" s="1"/>
  <c r="H284" i="1"/>
  <c r="K285" i="1" s="1"/>
  <c r="H315" i="1"/>
  <c r="K316" i="1" s="1"/>
  <c r="H309" i="1"/>
  <c r="K310" i="1" s="1"/>
  <c r="H248" i="1"/>
  <c r="K249" i="1" l="1"/>
  <c r="H278" i="1"/>
  <c r="K279" i="1" s="1"/>
  <c r="H318" i="1"/>
  <c r="K319" i="1" s="1"/>
  <c r="H254" i="1"/>
  <c r="K255" i="1" s="1"/>
  <c r="H251" i="1"/>
  <c r="K252" i="1" s="1"/>
  <c r="H333" i="1"/>
  <c r="K334" i="1" s="1"/>
  <c r="H266" i="1"/>
  <c r="K267" i="1" s="1"/>
  <c r="H281" i="1"/>
  <c r="K282" i="1" s="1"/>
  <c r="H275" i="1"/>
  <c r="K276" i="1" s="1"/>
  <c r="N245" i="1" l="1"/>
  <c r="N242" i="1" s="1"/>
  <c r="N238" i="1"/>
</calcChain>
</file>

<file path=xl/sharedStrings.xml><?xml version="1.0" encoding="utf-8"?>
<sst xmlns="http://schemas.openxmlformats.org/spreadsheetml/2006/main" count="1093" uniqueCount="663">
  <si>
    <t xml:space="preserve"> BRF Brynjan</t>
  </si>
  <si>
    <t xml:space="preserve">Org. Nr        758500-0172          </t>
  </si>
  <si>
    <t>30 år. 2021-2052</t>
  </si>
  <si>
    <t>Planerad åtgärd</t>
  </si>
  <si>
    <t>Mängd (st, kvm, lpm)</t>
  </si>
  <si>
    <t xml:space="preserve">Fastighetsbeteckning: </t>
  </si>
  <si>
    <t>30 st. lägenheter</t>
  </si>
  <si>
    <t>Renovering</t>
  </si>
  <si>
    <t>Skriv antal st, kvm, lpm etc.</t>
  </si>
  <si>
    <t xml:space="preserve">Fastighetens storlek (BOA) i kvm:        </t>
  </si>
  <si>
    <t>1626 kvm</t>
  </si>
  <si>
    <t>1 huskropp</t>
  </si>
  <si>
    <t>Ommålning</t>
  </si>
  <si>
    <t>Enhet= st/m2</t>
  </si>
  <si>
    <t xml:space="preserve">                                 K&amp;B Förvaltning AB</t>
  </si>
  <si>
    <t xml:space="preserve">Fastighetens storlek (LOA) i kvm:           </t>
  </si>
  <si>
    <t>2 st. kommersiella lokaler</t>
  </si>
  <si>
    <t>Injustering</t>
  </si>
  <si>
    <t xml:space="preserve">Skriv om du anger kvm, lpm, st, osv. </t>
  </si>
  <si>
    <t xml:space="preserve">                                   Bomgatan 6 B</t>
  </si>
  <si>
    <t>Datum för besiktning/UH-plan:</t>
  </si>
  <si>
    <t xml:space="preserve">Besiktning utförd  </t>
  </si>
  <si>
    <t xml:space="preserve">Ventilation: Mekanisk frånluft </t>
  </si>
  <si>
    <t>Besiktning</t>
  </si>
  <si>
    <t>Á-pris kr</t>
  </si>
  <si>
    <t xml:space="preserve">                                   412 64 Göteborg</t>
  </si>
  <si>
    <t xml:space="preserve">Besiktning utförd av: </t>
  </si>
  <si>
    <t>K&amp;B Förvaltning AB</t>
  </si>
  <si>
    <t>Värme: Fjärrvärme</t>
  </si>
  <si>
    <t>Ventilbyte</t>
  </si>
  <si>
    <t>Kostnad per enhet.</t>
  </si>
  <si>
    <t xml:space="preserve">                                   service@kbforvaltning.se</t>
  </si>
  <si>
    <t xml:space="preserve">Underhållsplan reviderad av: </t>
  </si>
  <si>
    <t>Jakov Vrcic och Oscar Bergström</t>
  </si>
  <si>
    <t>Bytes</t>
  </si>
  <si>
    <t>Kostnad i kr</t>
  </si>
  <si>
    <t xml:space="preserve">                                     www.kbforvaltning.se</t>
  </si>
  <si>
    <t xml:space="preserve">Revideringsdatum av underhållsplan: </t>
  </si>
  <si>
    <t>Etc.</t>
  </si>
  <si>
    <t>Á-pris * mängd = kostnad.</t>
  </si>
  <si>
    <t>AFF-kod</t>
  </si>
  <si>
    <t>Objekt</t>
  </si>
  <si>
    <t>Byggår 1942</t>
  </si>
  <si>
    <t>BRF Brynjan</t>
  </si>
  <si>
    <t xml:space="preserve">Historiska åtgärder </t>
  </si>
  <si>
    <t>Planerat underhåll</t>
  </si>
  <si>
    <t>Planerat underhåll byte</t>
  </si>
  <si>
    <t>Planerad investering</t>
  </si>
  <si>
    <t>Mängd (st, kvm,h,lpm)</t>
  </si>
  <si>
    <t>Enhet/ st/antal</t>
  </si>
  <si>
    <t>Á-pris kr inkl. moms</t>
  </si>
  <si>
    <t>Kostnad i kr inkl. Moms</t>
  </si>
  <si>
    <t xml:space="preserve">  </t>
  </si>
  <si>
    <t>Status</t>
  </si>
  <si>
    <t>Anteckningar</t>
  </si>
  <si>
    <t>Faktiska kostnader inkl. moms</t>
  </si>
  <si>
    <t>Ansvarig</t>
  </si>
  <si>
    <t>SC2</t>
  </si>
  <si>
    <t>Byggnad utvändigt</t>
  </si>
  <si>
    <t>SC2.1</t>
  </si>
  <si>
    <t xml:space="preserve">Yttertak, skärmtak </t>
  </si>
  <si>
    <t>Yttertak, skärmtak från 80-tal</t>
  </si>
  <si>
    <t>Ommålning av 3 st skärmtak, underrede träpaneler. Byte av takpannor ovantill.</t>
  </si>
  <si>
    <t>kvm</t>
  </si>
  <si>
    <t>Ommålning av skärmtak i träkonstruktion undertill och plåtdelar.  Arbete inkl. Material inkl. moms. 1. Byte av takpannor och underalgstakpapp. 2. Ommålning av plåtfärg på vindskivorna.  Arbete utförs utan fasadställningar från mark och mindre målarställning. Vid krav på fasadställningar, se separat kostnad för fasadställningar, murarställning/ AFF-kod SC2.120. Arbetskostnad 688 kr/h, tidsåtgång 8 h/st. Årsintervall 10-15 år. Byte av takpannor 1 000 kr/kvm. Oförutsedda kostnader 3 000 kr/entré.</t>
  </si>
  <si>
    <t>SC2.11</t>
  </si>
  <si>
    <t>Tak, undertak</t>
  </si>
  <si>
    <t>Undertak från 80-tal</t>
  </si>
  <si>
    <t>Byte av underlags takduk</t>
  </si>
  <si>
    <t>Kvm</t>
  </si>
  <si>
    <t>100</t>
  </si>
  <si>
    <t>Byte av all takpapp under betongpannor och plåttaket. Endast material kostnad, ca 100 kr/kvm. Taket totalt 1028 kvm. Livslängd 30-35 år. Se separat kostnad för fasadställningar, murarställning/ AFF-kod SC2.120. Livslängd 30-40 år.</t>
  </si>
  <si>
    <t>SC2.12</t>
  </si>
  <si>
    <t>Tak</t>
  </si>
  <si>
    <t>Taket är lagt i slutet på 80-tal</t>
  </si>
  <si>
    <r>
      <rPr>
        <b/>
        <sz val="12"/>
        <color theme="1"/>
        <rFont val="Calibri"/>
        <family val="2"/>
      </rPr>
      <t xml:space="preserve">1. </t>
    </r>
    <r>
      <rPr>
        <sz val="12"/>
        <color theme="1"/>
        <rFont val="Calibri"/>
        <family val="2"/>
      </rPr>
      <t>Högtryckstvätt och borttagning  av mossa och andra påväxter på takpannor</t>
    </r>
    <r>
      <rPr>
        <b/>
        <sz val="12"/>
        <color theme="1"/>
        <rFont val="Calibri"/>
        <family val="2"/>
      </rPr>
      <t xml:space="preserve">. 2. </t>
    </r>
    <r>
      <rPr>
        <sz val="12"/>
        <color theme="1"/>
        <rFont val="Calibri"/>
        <family val="2"/>
      </rPr>
      <t>Påstrykning med kembehandling/ algbehandling mot mossa och andra påväxter</t>
    </r>
    <r>
      <rPr>
        <b/>
        <sz val="12"/>
        <color theme="1"/>
        <rFont val="Calibri"/>
        <family val="2"/>
      </rPr>
      <t xml:space="preserve">. 3. </t>
    </r>
    <r>
      <rPr>
        <sz val="12"/>
        <color theme="1"/>
        <rFont val="Calibri"/>
        <family val="2"/>
      </rPr>
      <t>Målning av takpannor med betonghärdning och färg.</t>
    </r>
  </si>
  <si>
    <r>
      <rPr>
        <sz val="12"/>
        <color theme="1"/>
        <rFont val="Calibri"/>
        <family val="2"/>
      </rPr>
      <t xml:space="preserve">Underhåll takpannor: </t>
    </r>
    <r>
      <rPr>
        <b/>
        <sz val="12"/>
        <color theme="1"/>
        <rFont val="Calibri"/>
        <family val="2"/>
      </rPr>
      <t>1.</t>
    </r>
    <r>
      <rPr>
        <sz val="12"/>
        <color theme="1"/>
        <rFont val="Calibri"/>
        <family val="2"/>
      </rPr>
      <t xml:space="preserve"> Högtryckstvätt och borttagning  av mossa och andra påväxter på takpannor. </t>
    </r>
    <r>
      <rPr>
        <b/>
        <sz val="12"/>
        <color theme="1"/>
        <rFont val="Calibri"/>
        <family val="2"/>
      </rPr>
      <t>2</t>
    </r>
    <r>
      <rPr>
        <sz val="12"/>
        <color theme="1"/>
        <rFont val="Calibri"/>
        <family val="2"/>
      </rPr>
      <t xml:space="preserve">. Påstrykning med kembehandling/ algbehandling mot mossa och andra påväxter. Kembehandling/ algbehandling skyddar taket mot påväxt,  upp till 4-5 år. </t>
    </r>
    <r>
      <rPr>
        <b/>
        <sz val="12"/>
        <color theme="1"/>
        <rFont val="Calibri"/>
        <family val="2"/>
      </rPr>
      <t>3.</t>
    </r>
    <r>
      <rPr>
        <sz val="12"/>
        <color theme="1"/>
        <rFont val="Calibri"/>
        <family val="2"/>
      </rPr>
      <t xml:space="preserve"> Målning av takpannor med betonghärdning och färg. Priser inkl. moms: Högtrycktvätt och kembehandling tillsammans arbetskostnad 65 kr/ kvm. Målning arbete inkl. material ca 70 kr/kvm. Modotex,  enbart kembehandling/algbehandling (utan högtryck eller ommålning) ca 15 kr/ kvm. Taket totalt 850 kvm. Arbete beräknat utan fasadställningar, arbete utföres med befintlig taksäkerhet.  Livslängd kembehandling 4-5 år. Livslängd målning 8 år.</t>
    </r>
  </si>
  <si>
    <t xml:space="preserve"> </t>
  </si>
  <si>
    <t xml:space="preserve">Byte/ omläggning av tegelpannor/betongpannor och tillhörande takmaterial.                                 </t>
  </si>
  <si>
    <t>Byte underlagspapp, strö-och bärläkt, takfotsläkt, betong-eller tegelpannor, rivning och bortforsling av gammalt material. Rekommenderat att skydda taket med behandling mot påväxt, skyddar upp till 4 år.  Arbete inkl. Material. Taket totalt 40 kvm. För oförutsedda kostnader. 20 000kr. Se separat kostnad för fasadställningar, murarställning/ AFF-kod SC2.120. Livslängd 30-40 år.</t>
  </si>
  <si>
    <r>
      <rPr>
        <b/>
        <sz val="12"/>
        <color theme="1"/>
        <rFont val="Calibri"/>
        <family val="2"/>
      </rPr>
      <t xml:space="preserve">1. </t>
    </r>
    <r>
      <rPr>
        <sz val="12"/>
        <color theme="1"/>
        <rFont val="Calibri"/>
        <family val="2"/>
      </rPr>
      <t>Högtryckstvätt och borttagning  av mossa och andra påväxter på takpannor</t>
    </r>
    <r>
      <rPr>
        <b/>
        <sz val="12"/>
        <color theme="1"/>
        <rFont val="Calibri"/>
        <family val="2"/>
      </rPr>
      <t xml:space="preserve">. 2. </t>
    </r>
    <r>
      <rPr>
        <sz val="12"/>
        <color theme="1"/>
        <rFont val="Calibri"/>
        <family val="2"/>
      </rPr>
      <t>Påstrykning med kembehandling/ algbehandling mot mossa och andra påväxter</t>
    </r>
    <r>
      <rPr>
        <b/>
        <sz val="12"/>
        <color theme="1"/>
        <rFont val="Calibri"/>
        <family val="2"/>
      </rPr>
      <t>.</t>
    </r>
  </si>
  <si>
    <r>
      <rPr>
        <sz val="12"/>
        <color theme="1"/>
        <rFont val="Calibri"/>
        <family val="2"/>
      </rPr>
      <t xml:space="preserve">Underhåll takpannor: </t>
    </r>
    <r>
      <rPr>
        <b/>
        <sz val="12"/>
        <color theme="1"/>
        <rFont val="Calibri"/>
        <family val="2"/>
      </rPr>
      <t>1.</t>
    </r>
    <r>
      <rPr>
        <sz val="12"/>
        <color theme="1"/>
        <rFont val="Calibri"/>
        <family val="2"/>
      </rPr>
      <t xml:space="preserve"> Högtryckstvätt och borttagning  av mossa och andra påväxter på takpannor. </t>
    </r>
    <r>
      <rPr>
        <b/>
        <sz val="12"/>
        <color theme="1"/>
        <rFont val="Calibri"/>
        <family val="2"/>
      </rPr>
      <t>2</t>
    </r>
    <r>
      <rPr>
        <sz val="12"/>
        <color theme="1"/>
        <rFont val="Calibri"/>
        <family val="2"/>
      </rPr>
      <t>. Påstrykning med kembehandling/ algbehandling mot mossa och andra påväxter. Kembehandling/ algbehandling skyddar taket mot påväxt,  upp till 4-5 år. Priser inkl. moms: Högtrycktvätt och kembehandling tillsammans arbetskostnad 65 kr/ kvm. Modotex material, enbart kembehandling/algbehandling (utan högtryck eller ommålning) ca 15 kr/ kvm. Taket totalt 850 kvm. Arbete beräknat utan fasadställningar, arbete utföres med befintlig taksäkerhet.  Livslängd kembehandling 4-5 år.</t>
    </r>
  </si>
  <si>
    <r>
      <rPr>
        <b/>
        <sz val="12"/>
        <color theme="1"/>
        <rFont val="Calibri"/>
        <family val="2"/>
      </rPr>
      <t xml:space="preserve">1. </t>
    </r>
    <r>
      <rPr>
        <sz val="12"/>
        <color theme="1"/>
        <rFont val="Calibri"/>
        <family val="2"/>
      </rPr>
      <t>Högtryckstvätt och borttagning  av mossa och andra påväxter på takpannor</t>
    </r>
    <r>
      <rPr>
        <b/>
        <sz val="12"/>
        <color theme="1"/>
        <rFont val="Calibri"/>
        <family val="2"/>
      </rPr>
      <t xml:space="preserve">. 2. </t>
    </r>
    <r>
      <rPr>
        <sz val="12"/>
        <color theme="1"/>
        <rFont val="Calibri"/>
        <family val="2"/>
      </rPr>
      <t>Påstrykning med kembehandling/ algbehandling mot mossa och andra påväxter</t>
    </r>
    <r>
      <rPr>
        <b/>
        <sz val="12"/>
        <color theme="1"/>
        <rFont val="Calibri"/>
        <family val="2"/>
      </rPr>
      <t xml:space="preserve">. 3. </t>
    </r>
    <r>
      <rPr>
        <sz val="12"/>
        <color theme="1"/>
        <rFont val="Calibri"/>
        <family val="2"/>
      </rPr>
      <t>Målning av takpannor med betonghärdning och färg.</t>
    </r>
  </si>
  <si>
    <r>
      <rPr>
        <sz val="12"/>
        <color theme="1"/>
        <rFont val="Calibri"/>
        <family val="2"/>
      </rPr>
      <t xml:space="preserve">Underhåll takpannor: </t>
    </r>
    <r>
      <rPr>
        <b/>
        <sz val="12"/>
        <color theme="1"/>
        <rFont val="Calibri"/>
        <family val="2"/>
      </rPr>
      <t>1.</t>
    </r>
    <r>
      <rPr>
        <sz val="12"/>
        <color theme="1"/>
        <rFont val="Calibri"/>
        <family val="2"/>
      </rPr>
      <t xml:space="preserve"> Högtryckstvätt och borttagning  av mossa och andra påväxter på takpannor. </t>
    </r>
    <r>
      <rPr>
        <b/>
        <sz val="12"/>
        <color theme="1"/>
        <rFont val="Calibri"/>
        <family val="2"/>
      </rPr>
      <t>2</t>
    </r>
    <r>
      <rPr>
        <sz val="12"/>
        <color theme="1"/>
        <rFont val="Calibri"/>
        <family val="2"/>
      </rPr>
      <t xml:space="preserve">. Påstrykning med kembehandling/ algbehandling mot mossa och andra påväxter. Kembehandling/ algbehandling skyddar taket mot påväxt,  upp till 4-5 år. </t>
    </r>
    <r>
      <rPr>
        <b/>
        <sz val="12"/>
        <color theme="1"/>
        <rFont val="Calibri"/>
        <family val="2"/>
      </rPr>
      <t>3.</t>
    </r>
    <r>
      <rPr>
        <sz val="12"/>
        <color theme="1"/>
        <rFont val="Calibri"/>
        <family val="2"/>
      </rPr>
      <t xml:space="preserve"> Målning av takpannor med betonghärdning och färg. Priser inkl. moms: Högtrycktvätt och kembehandling tillsammans arbetskostnad 65 kr/ kvm. Målning arbete inkl. material ca 70 kr/kvm. Modotex,  enbart kembehandling/algbehandling (utan högtryck eller ommålning) ca 15 kr/ kvm. Taket totalt 850 kvm. Arbete beräknat utan fasadställningar, arbete utföres med befintlig taksäkerhet.  Livslängd kembehandling 4-5 år. Livslängd målning 8 år.</t>
    </r>
  </si>
  <si>
    <r>
      <rPr>
        <b/>
        <sz val="12"/>
        <color theme="1"/>
        <rFont val="Calibri"/>
        <family val="2"/>
      </rPr>
      <t xml:space="preserve">1. </t>
    </r>
    <r>
      <rPr>
        <sz val="12"/>
        <color theme="1"/>
        <rFont val="Calibri"/>
        <family val="2"/>
      </rPr>
      <t>Högtryckstvätt och borttagning  av mossa och andra påväxter på takpannor</t>
    </r>
    <r>
      <rPr>
        <b/>
        <sz val="12"/>
        <color theme="1"/>
        <rFont val="Calibri"/>
        <family val="2"/>
      </rPr>
      <t xml:space="preserve">. 2. </t>
    </r>
    <r>
      <rPr>
        <sz val="12"/>
        <color theme="1"/>
        <rFont val="Calibri"/>
        <family val="2"/>
      </rPr>
      <t>Påstrykning med kembehandling/ algbehandling mot mossa och andra påväxter</t>
    </r>
    <r>
      <rPr>
        <b/>
        <sz val="12"/>
        <color theme="1"/>
        <rFont val="Calibri"/>
        <family val="2"/>
      </rPr>
      <t>.</t>
    </r>
  </si>
  <si>
    <r>
      <rPr>
        <sz val="12"/>
        <color theme="1"/>
        <rFont val="Calibri"/>
        <family val="2"/>
      </rPr>
      <t xml:space="preserve">Underhåll takpannor: </t>
    </r>
    <r>
      <rPr>
        <b/>
        <sz val="12"/>
        <color theme="1"/>
        <rFont val="Calibri"/>
        <family val="2"/>
      </rPr>
      <t>1.</t>
    </r>
    <r>
      <rPr>
        <sz val="12"/>
        <color theme="1"/>
        <rFont val="Calibri"/>
        <family val="2"/>
      </rPr>
      <t xml:space="preserve"> Högtryckstvätt och borttagning  av mossa och andra påväxter på takpannor. </t>
    </r>
    <r>
      <rPr>
        <b/>
        <sz val="12"/>
        <color theme="1"/>
        <rFont val="Calibri"/>
        <family val="2"/>
      </rPr>
      <t>2</t>
    </r>
    <r>
      <rPr>
        <sz val="12"/>
        <color theme="1"/>
        <rFont val="Calibri"/>
        <family val="2"/>
      </rPr>
      <t>. Påstrykning med kembehandling/ algbehandling mot mossa och andra påväxter. Kembehandling/ algbehandling skyddar taket mot påväxt,  upp till 4-5 år. Priser inkl. moms: Högtrycktvätt och kembehandling tillsammans arbetskostnad 65 kr/kvm. Modotex material, enbart kembehandling/algbehandling (utan högtryck eller ommålning) ca 15 kr/kvm. Taket totalt 850 kvm. Arbete beräknat utan fasadställningar, arbete utföres med befintlig taksäkerhet.  Livslängd kembehandling 4-5 år.</t>
    </r>
  </si>
  <si>
    <r>
      <rPr>
        <b/>
        <sz val="12"/>
        <color theme="1"/>
        <rFont val="Calibri"/>
        <family val="2"/>
      </rPr>
      <t xml:space="preserve">1. </t>
    </r>
    <r>
      <rPr>
        <sz val="12"/>
        <color theme="1"/>
        <rFont val="Calibri"/>
        <family val="2"/>
      </rPr>
      <t>Högtryckstvätt och borttagning  av mossa och andra påväxter på takpannor</t>
    </r>
    <r>
      <rPr>
        <b/>
        <sz val="12"/>
        <color theme="1"/>
        <rFont val="Calibri"/>
        <family val="2"/>
      </rPr>
      <t xml:space="preserve">. 2. </t>
    </r>
    <r>
      <rPr>
        <sz val="12"/>
        <color theme="1"/>
        <rFont val="Calibri"/>
        <family val="2"/>
      </rPr>
      <t>Påstrykning med kembehandling/ algbehandling mot mossa och andra påväxter</t>
    </r>
    <r>
      <rPr>
        <b/>
        <sz val="12"/>
        <color theme="1"/>
        <rFont val="Calibri"/>
        <family val="2"/>
      </rPr>
      <t xml:space="preserve">. 3. </t>
    </r>
    <r>
      <rPr>
        <sz val="12"/>
        <color theme="1"/>
        <rFont val="Calibri"/>
        <family val="2"/>
      </rPr>
      <t>Målning av takpannor med betonghärdning och färg.</t>
    </r>
  </si>
  <si>
    <r>
      <rPr>
        <sz val="12"/>
        <color theme="1"/>
        <rFont val="Calibri"/>
        <family val="2"/>
      </rPr>
      <t xml:space="preserve">Underhåll takpannor: </t>
    </r>
    <r>
      <rPr>
        <b/>
        <sz val="12"/>
        <color theme="1"/>
        <rFont val="Calibri"/>
        <family val="2"/>
      </rPr>
      <t>1.</t>
    </r>
    <r>
      <rPr>
        <sz val="12"/>
        <color theme="1"/>
        <rFont val="Calibri"/>
        <family val="2"/>
      </rPr>
      <t xml:space="preserve"> Högtryckstvätt och borttagning  av mossa och andra påväxter på takpannor. </t>
    </r>
    <r>
      <rPr>
        <b/>
        <sz val="12"/>
        <color theme="1"/>
        <rFont val="Calibri"/>
        <family val="2"/>
      </rPr>
      <t>2</t>
    </r>
    <r>
      <rPr>
        <sz val="12"/>
        <color theme="1"/>
        <rFont val="Calibri"/>
        <family val="2"/>
      </rPr>
      <t xml:space="preserve">. Påstrykning med kembehandling/ algbehandling mot mossa och andra påväxter. Kembehandling/ algbehandling skyddar taket mot påväxt,  upp till 4-5 år. </t>
    </r>
    <r>
      <rPr>
        <b/>
        <sz val="12"/>
        <color theme="1"/>
        <rFont val="Calibri"/>
        <family val="2"/>
      </rPr>
      <t>3.</t>
    </r>
    <r>
      <rPr>
        <sz val="12"/>
        <color theme="1"/>
        <rFont val="Calibri"/>
        <family val="2"/>
      </rPr>
      <t xml:space="preserve"> Målning av takpannor med betonghärdning och färg. Priser inkl. moms: Högtrycktvätt och kembehandling tillsammans arbetskostnad 65 kr/ kvm. Målning arbete inkl. material ca 70 kr/kvm. Modotex,  enbart kembehandling/algbehandling (utan högtryck eller ommålning) ca 15 kr/ kvm. Taket totalt 850 kvm. Arbete beräknat utan fasadställningar, arbete utföres med befintlig taksäkerhet.  Livslängd kembehandling 4-5 år. Livslängd målning 8 år.</t>
    </r>
  </si>
  <si>
    <t>Huvudbyggnaden plåttak</t>
  </si>
  <si>
    <t xml:space="preserve">Ommålning plåttak </t>
  </si>
  <si>
    <r>
      <rPr>
        <sz val="12"/>
        <color theme="1"/>
        <rFont val="Calibri, Arial"/>
      </rPr>
      <t xml:space="preserve">Arbete inkl. Material. Enl. följande: </t>
    </r>
    <r>
      <rPr>
        <sz val="12"/>
        <color theme="1"/>
        <rFont val="Calibri, Arial"/>
      </rPr>
      <t>1.</t>
    </r>
    <r>
      <rPr>
        <sz val="12"/>
        <color theme="1"/>
        <rFont val="Calibri, Arial"/>
      </rPr>
      <t>Bortskrapning, slipning eller vattenblästra bort allt löst organiskt material, befintlig färg och rost.</t>
    </r>
    <r>
      <rPr>
        <sz val="12"/>
        <color theme="1"/>
        <rFont val="Calibri, Arial"/>
      </rPr>
      <t xml:space="preserve"> 2.</t>
    </r>
    <r>
      <rPr>
        <sz val="12"/>
        <color theme="1"/>
        <rFont val="Calibri, Arial"/>
      </rPr>
      <t xml:space="preserve">Grundning med priming/ zink grundfärg. </t>
    </r>
    <r>
      <rPr>
        <sz val="12"/>
        <color theme="1"/>
        <rFont val="Calibri, Arial"/>
      </rPr>
      <t>3.</t>
    </r>
    <r>
      <rPr>
        <sz val="12"/>
        <color theme="1"/>
        <rFont val="Calibri, Arial"/>
      </rPr>
      <t xml:space="preserve"> Ommålning av plåtfärg. </t>
    </r>
    <r>
      <rPr>
        <sz val="12"/>
        <color theme="1"/>
        <rFont val="Calibri, Arial"/>
      </rPr>
      <t>5 000 kr</t>
    </r>
    <r>
      <rPr>
        <sz val="12"/>
        <color theme="1"/>
        <rFont val="Calibri, Arial"/>
      </rPr>
      <t xml:space="preserve"> i oförutsedda kostnader.  Eventuellt kan arbete utföras utan fasadställningar, med säkerhetslinor. Se separat kostnad för fasadställning/ murarställning,  AFF-kod SC2.121. Årsintervall 10-15 år.</t>
    </r>
  </si>
  <si>
    <t>Byte/ omläggning av plåttak</t>
  </si>
  <si>
    <r>
      <rPr>
        <sz val="13"/>
        <color theme="1"/>
        <rFont val="Calibri, Arial"/>
      </rPr>
      <t>Byte av plåttak, tot 178 kvm. 1. Rivning och bortforsling av befintlig plåt och underlagsduk. 2. Montering av dubbelfallsad bandtäckningsplåt, underlagsduk Flexisteel. fotplåt, gavelbeslag m.m. Arbete inkl. Material. Container, transport, återvinning, arbetsfordon ingår. Taksäkerhet, stosar, venthuvar, se separat kostnad, se AFF-kod SC2.13. Oförutsedda kostnader 1</t>
    </r>
    <r>
      <rPr>
        <sz val="13"/>
        <color theme="1"/>
        <rFont val="Calibri, Arial"/>
      </rPr>
      <t>0 000 kr</t>
    </r>
    <r>
      <rPr>
        <sz val="13"/>
        <color theme="1"/>
        <rFont val="Calibri, Arial"/>
      </rPr>
      <t>. Se separat kostnad för fasadställning/ murarställning, se AFF- kod SC2.120. Livslängd 35-40 år.</t>
    </r>
  </si>
  <si>
    <r>
      <rPr>
        <sz val="12"/>
        <color theme="1"/>
        <rFont val="Calibri, Arial"/>
      </rPr>
      <t xml:space="preserve">Arbete inkl. Material. Enl. följande: </t>
    </r>
    <r>
      <rPr>
        <sz val="12"/>
        <color theme="1"/>
        <rFont val="Calibri, Arial"/>
      </rPr>
      <t>1.</t>
    </r>
    <r>
      <rPr>
        <sz val="12"/>
        <color theme="1"/>
        <rFont val="Calibri, Arial"/>
      </rPr>
      <t>Bortskrapning, slipning eller vattenblästra bort allt löst organiskt material, befintlig färg och rost.</t>
    </r>
    <r>
      <rPr>
        <sz val="12"/>
        <color theme="1"/>
        <rFont val="Calibri, Arial"/>
      </rPr>
      <t xml:space="preserve"> 2.</t>
    </r>
    <r>
      <rPr>
        <sz val="12"/>
        <color theme="1"/>
        <rFont val="Calibri, Arial"/>
      </rPr>
      <t xml:space="preserve">Grundning med priming/ zink grundfärg. </t>
    </r>
    <r>
      <rPr>
        <sz val="12"/>
        <color theme="1"/>
        <rFont val="Calibri, Arial"/>
      </rPr>
      <t>3.</t>
    </r>
    <r>
      <rPr>
        <sz val="12"/>
        <color theme="1"/>
        <rFont val="Calibri, Arial"/>
      </rPr>
      <t xml:space="preserve"> Ommålning av plåtfärg. </t>
    </r>
    <r>
      <rPr>
        <sz val="12"/>
        <color theme="1"/>
        <rFont val="Calibri, Arial"/>
      </rPr>
      <t>5 000 kr</t>
    </r>
    <r>
      <rPr>
        <sz val="12"/>
        <color theme="1"/>
        <rFont val="Calibri, Arial"/>
      </rPr>
      <t xml:space="preserve"> i oförutsedda kostnader.  Eventuellt kan arbete utföras utan fasadställningar, med säkerhetslinor. Se separat kostnad för fasadställning/ murarställning,  AFF-kod SC2.121. Årsintervall 10-15 år.</t>
    </r>
  </si>
  <si>
    <t>Plåttak Miljöhus</t>
  </si>
  <si>
    <t xml:space="preserve">Byte av enklare plåttak </t>
  </si>
  <si>
    <t xml:space="preserve">Arbete inkl. Material. Enl. följande:  Byte av plåttak  3 000 kr för oförutsedda kostnader. Rivning och bortforsling av gammalt material. </t>
  </si>
  <si>
    <t>SC2.120</t>
  </si>
  <si>
    <t xml:space="preserve">Fasadställningar </t>
  </si>
  <si>
    <t>Fasaduppsättning vid takbyte</t>
  </si>
  <si>
    <t>Uppsättning av fasadställning, murarställning för tak-och plåt byte och byte av taksäkerhet , ommålning av plåttak, fasadomputsning, träfasadbyte, ommålning av fasader, fönsterrenoveringar m.m.</t>
  </si>
  <si>
    <t>Hyra av Fasadsställning, murarställning. Alla fasader. För genomförande av takbyte, takommålning, byte av stuprör och hängrännor.</t>
  </si>
  <si>
    <t>Fasaduppsättning vid fasadbyte</t>
  </si>
  <si>
    <t>Hyra av Fasadsställning, murarställning. Alla fasader. För genomförande av fasadbyte.</t>
  </si>
  <si>
    <t>SC2.13</t>
  </si>
  <si>
    <t>Ventilationshuvar, Luftningsstosar, plåtdelar</t>
  </si>
  <si>
    <t>Huvudbyggnaden</t>
  </si>
  <si>
    <t>Byte i samband med takbyte</t>
  </si>
  <si>
    <r>
      <rPr>
        <sz val="13"/>
        <color theme="1"/>
        <rFont val="Calibri"/>
        <family val="2"/>
      </rPr>
      <t xml:space="preserve">Byte till nya plåtdelar ochv taksäkerhet enl. Boverkets Byggregler för fastighet med fasadhöjd över 8 m. </t>
    </r>
    <r>
      <rPr>
        <b/>
        <sz val="13"/>
        <color theme="1"/>
        <rFont val="Calibri"/>
        <family val="2"/>
      </rPr>
      <t>1.</t>
    </r>
    <r>
      <rPr>
        <sz val="13"/>
        <color theme="1"/>
        <rFont val="Calibri"/>
        <family val="2"/>
      </rPr>
      <t xml:space="preserve"> BBR 8:2422 Takgstege, 4 st. ca 15 m/ totalt.  2170 kr/m</t>
    </r>
    <r>
      <rPr>
        <b/>
        <sz val="13"/>
        <color theme="1"/>
        <rFont val="Calibri"/>
        <family val="2"/>
      </rPr>
      <t xml:space="preserve"> 32 550 kr. 2</t>
    </r>
    <r>
      <rPr>
        <sz val="13"/>
        <color theme="1"/>
        <rFont val="Calibri"/>
        <family val="2"/>
      </rPr>
      <t xml:space="preserve">. BBR 8:2431 Nockräcke eller gångbrygga för infästning av säkerhetslina. Tot 70m. ca 625 kr/m tot. ca </t>
    </r>
    <r>
      <rPr>
        <b/>
        <sz val="13"/>
        <color theme="1"/>
        <rFont val="Calibri"/>
        <family val="2"/>
      </rPr>
      <t>43 750 kr.</t>
    </r>
    <r>
      <rPr>
        <sz val="13"/>
        <color theme="1"/>
        <rFont val="Calibri"/>
        <family val="2"/>
      </rPr>
      <t xml:space="preserve"> </t>
    </r>
    <r>
      <rPr>
        <b/>
        <sz val="13"/>
        <color theme="1"/>
        <rFont val="Calibri"/>
        <family val="2"/>
      </rPr>
      <t>3.</t>
    </r>
    <r>
      <rPr>
        <sz val="13"/>
        <color theme="1"/>
        <rFont val="Calibri"/>
        <family val="2"/>
      </rPr>
      <t xml:space="preserve"> Avluftningstosar ca 15 st. (2500 kr/ st). tot. </t>
    </r>
    <r>
      <rPr>
        <b/>
        <sz val="13"/>
        <color theme="1"/>
        <rFont val="Calibri"/>
        <family val="2"/>
      </rPr>
      <t xml:space="preserve">37 500 kr. 4. </t>
    </r>
    <r>
      <rPr>
        <sz val="13"/>
        <color theme="1"/>
        <rFont val="Calibri"/>
        <family val="2"/>
      </rPr>
      <t xml:space="preserve">Taklucka 3 st. tot. </t>
    </r>
    <r>
      <rPr>
        <b/>
        <sz val="13"/>
        <color theme="1"/>
        <rFont val="Calibri"/>
        <family val="2"/>
      </rPr>
      <t>15 000 kr.</t>
    </r>
    <r>
      <rPr>
        <sz val="13"/>
        <color theme="1"/>
        <rFont val="Calibri"/>
        <family val="2"/>
      </rPr>
      <t xml:space="preserve"> </t>
    </r>
    <r>
      <rPr>
        <b/>
        <sz val="13"/>
        <color theme="1"/>
        <rFont val="Calibri"/>
        <family val="2"/>
      </rPr>
      <t xml:space="preserve">5. </t>
    </r>
    <r>
      <rPr>
        <sz val="13"/>
        <color theme="1"/>
        <rFont val="Calibri"/>
        <family val="2"/>
      </rPr>
      <t>BBR 8:2421 Skyddsräcke vid taklucka/uppstigningslucka 9</t>
    </r>
    <r>
      <rPr>
        <b/>
        <sz val="13"/>
        <color theme="1"/>
        <rFont val="Calibri"/>
        <family val="2"/>
      </rPr>
      <t xml:space="preserve"> 000 kr.</t>
    </r>
    <r>
      <rPr>
        <sz val="13"/>
        <color theme="1"/>
        <rFont val="Calibri"/>
        <family val="2"/>
      </rPr>
      <t xml:space="preserve"> </t>
    </r>
    <r>
      <rPr>
        <b/>
        <sz val="13"/>
        <color theme="1"/>
        <rFont val="Calibri"/>
        <family val="2"/>
      </rPr>
      <t>6.</t>
    </r>
    <r>
      <rPr>
        <sz val="13"/>
        <color theme="1"/>
        <rFont val="Calibri"/>
        <family val="2"/>
      </rPr>
      <t xml:space="preserve"> Takhuvar av plåt 1 st. ca pris </t>
    </r>
    <r>
      <rPr>
        <b/>
        <sz val="13"/>
        <color theme="1"/>
        <rFont val="Calibri"/>
        <family val="2"/>
      </rPr>
      <t>5 000 kr. 7.</t>
    </r>
    <r>
      <rPr>
        <sz val="13"/>
        <color theme="1"/>
        <rFont val="Calibri"/>
        <family val="2"/>
      </rPr>
      <t xml:space="preserve"> BBR 8:2434 Snö-och is rasskydd, översta taket: 70 m+70 m, tak plan </t>
    </r>
    <r>
      <rPr>
        <b/>
        <sz val="13"/>
        <color theme="1"/>
        <rFont val="Calibri"/>
        <family val="2"/>
      </rPr>
      <t xml:space="preserve"> </t>
    </r>
    <r>
      <rPr>
        <sz val="13"/>
        <color theme="1"/>
        <rFont val="Calibri"/>
        <family val="2"/>
      </rPr>
      <t>583 kr/m</t>
    </r>
    <r>
      <rPr>
        <b/>
        <sz val="13"/>
        <color theme="1"/>
        <rFont val="Calibri"/>
        <family val="2"/>
      </rPr>
      <t xml:space="preserve">  tot. ca 81 620 kr. 8. </t>
    </r>
    <r>
      <rPr>
        <sz val="13"/>
        <color theme="1"/>
        <rFont val="Calibri"/>
        <family val="2"/>
      </rPr>
      <t xml:space="preserve">Diverse plåtdelar, täckprofiler, säkerhetsfästen och outförsedda tillkommande materialkostnader, tot. ca </t>
    </r>
    <r>
      <rPr>
        <b/>
        <sz val="13"/>
        <color theme="1"/>
        <rFont val="Calibri"/>
        <family val="2"/>
      </rPr>
      <t xml:space="preserve">40 000 </t>
    </r>
    <r>
      <rPr>
        <sz val="13"/>
        <color theme="1"/>
        <rFont val="Calibri"/>
        <family val="2"/>
      </rPr>
      <t>kr. Se separat kostnad för fasadställningar , se AFF-kod SC2.121. Byte i samband med övrig takomläggninig. Livslängd ca 35-40 år.</t>
    </r>
  </si>
  <si>
    <t xml:space="preserve">Ommålning av plåtdelar, taksäkerhet m.m </t>
  </si>
  <si>
    <t>h</t>
  </si>
  <si>
    <r>
      <rPr>
        <sz val="12"/>
        <color theme="1"/>
        <rFont val="Calibri"/>
        <family val="2"/>
      </rPr>
      <t xml:space="preserve">Arbete inkl. Material inkl. moms.  Plåtdelar runt ventilationshuvar,  ventilationshuvar, stosar, takbryggor, täckprofiler, plåtbeslag, övrig taksäkerhet diverse plåtdelar m.m. </t>
    </r>
    <r>
      <rPr>
        <b/>
        <sz val="12"/>
        <color theme="1"/>
        <rFont val="Calibri"/>
        <family val="2"/>
      </rPr>
      <t>1</t>
    </r>
    <r>
      <rPr>
        <sz val="12"/>
        <color theme="1"/>
        <rFont val="Calibri"/>
        <family val="2"/>
      </rPr>
      <t xml:space="preserve">.Bortskrapning, slipning  eller sand-eller vattenblästra bort allt löst organiskt material, befintlig färg och rost. </t>
    </r>
    <r>
      <rPr>
        <b/>
        <sz val="12"/>
        <color theme="1"/>
        <rFont val="Calibri"/>
        <family val="2"/>
      </rPr>
      <t>2</t>
    </r>
    <r>
      <rPr>
        <sz val="12"/>
        <color theme="1"/>
        <rFont val="Calibri"/>
        <family val="2"/>
      </rPr>
      <t xml:space="preserve">.Grundning med priming/ zink grundfärg. </t>
    </r>
    <r>
      <rPr>
        <b/>
        <sz val="12"/>
        <color theme="1"/>
        <rFont val="Calibri"/>
        <family val="2"/>
      </rPr>
      <t>3.</t>
    </r>
    <r>
      <rPr>
        <sz val="12"/>
        <color theme="1"/>
        <rFont val="Calibri"/>
        <family val="2"/>
      </rPr>
      <t xml:space="preserve"> Ommålning av plåtfärg.  Arbete utförs utan fasadställningar, med säkerhetslinor på befintliga säkerhetsanordningar. Vid krav på fasadställningar, se separat kostnad för fasadställningar, murarställning/ AFF-kod SC2.120. Arbetskostnad 625 kr/h, tidsåtgång 80 h. Materialkostnad och oförutsedda kostnader 20 000 kr per hus. Årsintervall 10-15 år.</t>
    </r>
  </si>
  <si>
    <t>SC2.14</t>
  </si>
  <si>
    <t>Hängrännor</t>
  </si>
  <si>
    <t>Bytta under 80-talet</t>
  </si>
  <si>
    <t>Byte till nya galvade hängrännor.</t>
  </si>
  <si>
    <t>m</t>
  </si>
  <si>
    <t>Hängränna tak fastighetens alla sidor, totalt 183m  Pris material: Hängrännor ca 327 kr/m. Arbeteskostnad 688 kr/h, demontering, bortforsling av befintliga hängrännor och montering av nya ca 80 h. Livslängd ca 25-30 år och/eller i samband med övrig takrenovering. Se separat kostnad för fasadställningar, murarställning/ AFF-kod SC2.120.  Altn. hyra av lift vid enbart byte av Hängrännor och  stuprör ca pris 4500 kr /dag.</t>
  </si>
  <si>
    <t>SC2.141</t>
  </si>
  <si>
    <t>Stuprör</t>
  </si>
  <si>
    <t>Byte till nya galvade stuprör</t>
  </si>
  <si>
    <t>8 st. stuprör. Stupprör längd ca 11 m st.  Arbetskostnad 688 kr/h,  demontering, bortforsling av befintliga stuprör och montering av nya ca 48h. Materialkostnad stuprör 610 kr/m. Stuprörsanslutningar tot 8 st. Pris för anslutning med rens ca 1150 kr/st. Livslängd ca 25-30 år och/ eller i samband med övrig takrenovering. Se separat kostnad för fasadställningar, murarställning/ AFF-kod SC2.120. Altn. hyra av lift vid enbart byte av Hängrännor och  stuprör ca pris 4500 kr /dag.</t>
  </si>
  <si>
    <t>SC2.15</t>
  </si>
  <si>
    <t>Vindskivor</t>
  </si>
  <si>
    <t>Byte till nya trä- och plåtvindskivor på alla gavlarna.</t>
  </si>
  <si>
    <t>Pris endast material: Fingerskarvad grundmålad trä vindskiva ca 60 kr/m. Vindskiveplåt ca 100 kr/m. Byte till nya plåtvindskivor som monteras på nya trävindskivorna. 2 st. trä vindskivor/gavel och 2 st. vindskiveplåtar/ gavel. Monteras eventuellt vid omläggning av övriga taket och plåtdelar samma år.   Se separat kostnad för fasadställningar.</t>
  </si>
  <si>
    <t>SC2.2</t>
  </si>
  <si>
    <t>Fasader, balkonger, loftgångar, altaner, terrasser, fönster, fönsterdörrar</t>
  </si>
  <si>
    <t>SC2.21</t>
  </si>
  <si>
    <t>Fasader</t>
  </si>
  <si>
    <t>Eternitskivor aldrig bytta</t>
  </si>
  <si>
    <t>1.Fasadtvätt. 2. Ommålning fasad.</t>
  </si>
  <si>
    <t>1.Högtrycksvätt av fasad. Arbete från marken. 73 kr/kvm. 2. Ommålning av fasad 300 kr/kvm.  Materialkostnad och arbetskostnad. 2 ggr strykning. Efter fasadtvätt /rengöring.  Årsintervall 10 -12 år.</t>
  </si>
  <si>
    <t>Byte av eternitskivor. Demontering, deponering , asbestsanering, montering, materialkostnad och arbete.</t>
  </si>
  <si>
    <t>Pris exklusive deponering av eternitskivor och asbestsanering.             1. Demontering av befintliga eternitskivor. 2. Montering av nya eternitskivor, arbete och materialkostnad: Pris ca 2 000 kr/kvm</t>
  </si>
  <si>
    <t>Fasad miljöstation</t>
  </si>
  <si>
    <r>
      <rPr>
        <sz val="12"/>
        <color theme="1"/>
        <rFont val="Calibri"/>
        <family val="2"/>
      </rPr>
      <t>1</t>
    </r>
    <r>
      <rPr>
        <sz val="12"/>
        <color theme="1"/>
        <rFont val="Calibri"/>
        <family val="2"/>
      </rPr>
      <t xml:space="preserve">.Fasadtvätt. </t>
    </r>
    <r>
      <rPr>
        <sz val="12"/>
        <color theme="1"/>
        <rFont val="Calibri"/>
        <family val="2"/>
      </rPr>
      <t xml:space="preserve">2. </t>
    </r>
    <r>
      <rPr>
        <sz val="12"/>
        <color theme="1"/>
        <rFont val="Calibri"/>
        <family val="2"/>
      </rPr>
      <t>Ommålning träfasad.</t>
    </r>
  </si>
  <si>
    <t>1.Högtrycksvätt av träfasad. Arbete från marken. 73 kr/kvm. 2. Ommålning av träfasad 300 kr/kvm.  Materialkostnad och arbetskostnad. Grundning, skrapning och 2 ggr strykning. Efter fasadtvätt /rengöring.  Årsintervall 10 -12 år.</t>
  </si>
  <si>
    <r>
      <rPr>
        <sz val="12"/>
        <color theme="1"/>
        <rFont val="Calibri"/>
        <family val="2"/>
      </rPr>
      <t>1</t>
    </r>
    <r>
      <rPr>
        <sz val="12"/>
        <color theme="1"/>
        <rFont val="Calibri"/>
        <family val="2"/>
      </rPr>
      <t xml:space="preserve">.Fasadtvätt. </t>
    </r>
    <r>
      <rPr>
        <sz val="12"/>
        <color theme="1"/>
        <rFont val="Calibri"/>
        <family val="2"/>
      </rPr>
      <t xml:space="preserve">2. </t>
    </r>
    <r>
      <rPr>
        <sz val="12"/>
        <color theme="1"/>
        <rFont val="Calibri"/>
        <family val="2"/>
      </rPr>
      <t>Ommålning träfasad.</t>
    </r>
  </si>
  <si>
    <r>
      <rPr>
        <sz val="12"/>
        <color theme="1"/>
        <rFont val="Calibri"/>
        <family val="2"/>
      </rPr>
      <t>1</t>
    </r>
    <r>
      <rPr>
        <sz val="12"/>
        <color theme="1"/>
        <rFont val="Calibri"/>
        <family val="2"/>
      </rPr>
      <t xml:space="preserve">.Fasadtvätt. </t>
    </r>
    <r>
      <rPr>
        <sz val="12"/>
        <color theme="1"/>
        <rFont val="Calibri"/>
        <family val="2"/>
      </rPr>
      <t xml:space="preserve">2. </t>
    </r>
    <r>
      <rPr>
        <sz val="12"/>
        <color theme="1"/>
        <rFont val="Calibri"/>
        <family val="2"/>
      </rPr>
      <t>Ommålning träfasad.</t>
    </r>
  </si>
  <si>
    <t>SC2.23</t>
  </si>
  <si>
    <t>Fönster</t>
  </si>
  <si>
    <t xml:space="preserve">2013 - Fönster bytts ut i hela huset </t>
  </si>
  <si>
    <t>1. Underhåll av fönsterkarmar och ev. fönsterbleck. 2.Kontroll av funktion/ justering beslag, gångjärn, tätningslister, glas, spröjs.</t>
  </si>
  <si>
    <t>st</t>
  </si>
  <si>
    <t>Alla sidor: Omlackering av alla fönsterbleck Vid behov och skador lackning av aluminiumkarmar/ strykning fönsterkarmar utsida och mellan. Omkittning av lister, tätningslister byts. Justering av gångjärnen eller slutblecken. Smörjning av kolvarna i spanjonetten med smörjolja. Rengöring av isärkopplade fönsterbågar, inner-och ytterbågar och karmar. 161 fönster samt 2 balkong/fönsterdörrar Underhåll ca pris 500 kr/ fönster. 10 000 kr för oförutsedda kostnader.  Material + arbete ingår. Arbete innefrån trapphus och lägenheter. Måste arbetet utföras utifrån tillkommer fasadställningar/ murarställning. Se separat kostnad för fasadställning/murarställning AFF-kod SC2.120. Årsintervall 10-12 år.</t>
  </si>
  <si>
    <t>SC2.24</t>
  </si>
  <si>
    <t xml:space="preserve">Balkonger </t>
  </si>
  <si>
    <t>2 st Balkonger med betongplattor, plåtstaket och stålram. Renoverat 2000.</t>
  </si>
  <si>
    <r>
      <rPr>
        <sz val="12"/>
        <color theme="1"/>
        <rFont val="Calibri"/>
        <family val="2"/>
      </rPr>
      <t xml:space="preserve"> 1</t>
    </r>
    <r>
      <rPr>
        <sz val="12"/>
        <color theme="1"/>
        <rFont val="Calibri"/>
        <family val="2"/>
      </rPr>
      <t>. Ommålning av alla balkongplattor.</t>
    </r>
    <r>
      <rPr>
        <sz val="12"/>
        <color theme="1"/>
        <rFont val="Calibri"/>
        <family val="2"/>
      </rPr>
      <t xml:space="preserve">  2</t>
    </r>
    <r>
      <rPr>
        <sz val="12"/>
        <color theme="1"/>
        <rFont val="Calibri"/>
        <family val="2"/>
      </rPr>
      <t xml:space="preserve">. Kontroll och genomgång av infästningar, konstruktion och bärighet. </t>
    </r>
  </si>
  <si>
    <r>
      <rPr>
        <sz val="12"/>
        <color theme="1"/>
        <rFont val="Calibri"/>
        <family val="2"/>
      </rPr>
      <t xml:space="preserve">Underhåll av balkonger tot. 2 st: </t>
    </r>
    <r>
      <rPr>
        <b/>
        <sz val="12"/>
        <color theme="1"/>
        <rFont val="Calibri"/>
        <family val="2"/>
      </rPr>
      <t>1</t>
    </r>
    <r>
      <rPr>
        <sz val="12"/>
        <color theme="1"/>
        <rFont val="Calibri"/>
        <family val="2"/>
      </rPr>
      <t>. Slipning,skrapning, rostskyddsbehandling och ommålning av stålstaket, räcken, stålramkonstruktion och övriga delar i stål. Målning av plåtskydd. Vid behov rostbehandling av fästen, skruvar, infästningar. Kontroll och justeringar av alla glas, skenor, lås, stålhandledare, mellan-och underliggare, dragstag, räckesstolpar, övriga fästen m.m. Skrapning och ommålning av bottenplatta av gjuten betong. Arbetsåtgång ca 16  h/balkong, 2-3  st. strykningar. Arbetskostnad 688 kr inkl. moms /h. Materialkostnader ca 4000 kr/balkong. Arbete inkl. material. 2. Rekommendation: utförande av Kontroll och genomgång av infästningar, konstruktion och bärighet. Arbete med hyra av lift, ca pris 3 500 kr /dag. Alt. utförande med fasadställningar, Se separat kostnad för Fasadställningar AFF-kod SC2.120. Årsintervall 15 år. Livslängd 40-50 år</t>
    </r>
  </si>
  <si>
    <r>
      <rPr>
        <sz val="12"/>
        <color theme="1"/>
        <rFont val="Calibri"/>
        <family val="2"/>
      </rPr>
      <t xml:space="preserve"> 1</t>
    </r>
    <r>
      <rPr>
        <sz val="12"/>
        <color theme="1"/>
        <rFont val="Calibri"/>
        <family val="2"/>
      </rPr>
      <t>. Ommålning av alla balkongplattor.</t>
    </r>
    <r>
      <rPr>
        <sz val="12"/>
        <color theme="1"/>
        <rFont val="Calibri"/>
        <family val="2"/>
      </rPr>
      <t xml:space="preserve">  2</t>
    </r>
    <r>
      <rPr>
        <sz val="12"/>
        <color theme="1"/>
        <rFont val="Calibri"/>
        <family val="2"/>
      </rPr>
      <t xml:space="preserve">. Kontroll och genomgång av infästningar, konstruktion och bärighet. </t>
    </r>
  </si>
  <si>
    <r>
      <rPr>
        <sz val="12"/>
        <color theme="1"/>
        <rFont val="Calibri"/>
        <family val="2"/>
      </rPr>
      <t xml:space="preserve">Underhåll av balkonger tot. 2 st: </t>
    </r>
    <r>
      <rPr>
        <b/>
        <sz val="12"/>
        <color theme="1"/>
        <rFont val="Calibri"/>
        <family val="2"/>
      </rPr>
      <t>1</t>
    </r>
    <r>
      <rPr>
        <sz val="12"/>
        <color theme="1"/>
        <rFont val="Calibri"/>
        <family val="2"/>
      </rPr>
      <t>. Slipning,skrapning, rostskyddsbehandling och ommålning av stålstaket, räcken, stålramkonstruktion och övriga delar i stål. Målning av plåtskydd. Vid behov rostbehandling av fästen, skruvar, infästningar. Kontroll och justeringar av alla glas, skenor, lås, stålhandledare, mellan-och underliggare, dragstag, räckesstolpar, övriga fästen m.m. Skrapning och ommålning av bottenplatta av gjuten betong. Arbetsåtgång ca 16  h/balkong, 2-3  st. strykningar. Arbetskostnad 688 kr inkl. moms /h. Materialkostnader ca 4000 kr/balkong. Arbete inkl. material. 2. Rekommendation: utförande av Kontroll och genomgång av infästningar, konstruktion och bärighet. Arbete med hyra av lift, ca pris 3 500 kr /dag. Alt. utförande med fasadställningar, Se separat kostnad för Fasadställningar AFF-kod SC2.120. Årsintervall 15 år. Livslängd 40-50 år</t>
    </r>
  </si>
  <si>
    <t>SC2.3</t>
  </si>
  <si>
    <t>Entréer, portar mm</t>
  </si>
  <si>
    <t>SC2.31</t>
  </si>
  <si>
    <t xml:space="preserve">Dörrar till trapphus             </t>
  </si>
  <si>
    <t>Aluminium 3 st - från 1988</t>
  </si>
  <si>
    <t>Löpande årligen</t>
  </si>
  <si>
    <t>Kontroll, justering, genomgång av gångjärn, bleck, dörrstängare,beslag, handtag, funktion. Ev. lagning/byte av slitna delar.</t>
  </si>
  <si>
    <t>Underhåll av 3 st. entrédörrar i aluminium med glas. Service: se över alla delar: rörliga delar i lås, beslag, glidare smörjs. Kontroll av skruvar, låskolv, bleck, el-slutbleck, tätningslister, dörrstängare. Justering av gångjärn, tätningstryck och höjdinställning. Justering av dörrstängare. Rengöring av aluminiumprofiler och glas. Material och arbete inräknat. Justering/ kontroll ca 630 kr/ dörr. Eventuellt material, smörjningsolja etc. 500 kr. Byte av trasiga delar ej inräknat. Årsintervaller årligen, min. 1-2 ggr/ år.</t>
  </si>
  <si>
    <t>Alla entrédörrar</t>
  </si>
  <si>
    <t>Byte entrédörrar: nya dörrar i aluminium med glasruta. Gångjärn, bleck, trösklar, dörrstängare, beslag, handtag m.m.</t>
  </si>
  <si>
    <t>Byte av 3 st. entrédörrar mot gata. Alumimiumprofiler med glasruta, karmar, låskista, trösklar, dörrstängare, profiler, handtag, glas, lister, tätningslister, gångjärn, cylindervred och övriga delar. Demontering av befintlig dörr, bortforsling, deponering och montering av ny dörr. Pris material ca 30 000 kr. Arbete 8 h/ dörr. Totalt 24 h. 688 kr/h. Livslängd 20- 35 år.</t>
  </si>
  <si>
    <t>SC2.32</t>
  </si>
  <si>
    <t>Dörrar till miljörum, driftrum, möteslokaler m.m.</t>
  </si>
  <si>
    <t xml:space="preserve"> 2019 - Två nya ståldörrar</t>
  </si>
  <si>
    <r>
      <rPr>
        <sz val="12"/>
        <color rgb="FF0000FF"/>
        <rFont val="Calibri, Arial"/>
      </rPr>
      <t>1</t>
    </r>
    <r>
      <rPr>
        <sz val="12"/>
        <color rgb="FF0000FF"/>
        <rFont val="Calibri, Arial"/>
      </rPr>
      <t>. Ommålning av utsida och insida dörrar.</t>
    </r>
    <r>
      <rPr>
        <sz val="12"/>
        <color rgb="FF0000FF"/>
        <rFont val="Calibri, Arial"/>
      </rPr>
      <t xml:space="preserve"> 2.</t>
    </r>
    <r>
      <rPr>
        <sz val="12"/>
        <color rgb="FF0000FF"/>
        <rFont val="Calibri, Arial"/>
      </rPr>
      <t xml:space="preserve"> Kontroll, justering, genomgång av gångjärn, bleck, dörrstängare,beslag, handtag, funktion. Ev. lagning/byte av slitna delar. </t>
    </r>
  </si>
  <si>
    <t xml:space="preserve">Underhåll av ståldörrar . Skrapning och Ommålning/ strykning 2 ggr in-och utsida. Kontrollfunktion, se över alla delar. Material och arbete inräknat. Ommålning ca 1500 kr/ dörr, Justering/ kontroll              ca 630 kr/ dörr. Årsintervaller 12 år.  </t>
  </si>
  <si>
    <t xml:space="preserve">ståldörrar </t>
  </si>
  <si>
    <r>
      <rPr>
        <sz val="12"/>
        <color rgb="FF0000FF"/>
        <rFont val="Calibri, Arial"/>
      </rPr>
      <t>1</t>
    </r>
    <r>
      <rPr>
        <sz val="12"/>
        <color rgb="FF0000FF"/>
        <rFont val="Calibri, Arial"/>
      </rPr>
      <t>. Ommålning av utsida och insida dörrar.</t>
    </r>
    <r>
      <rPr>
        <sz val="12"/>
        <color rgb="FF0000FF"/>
        <rFont val="Calibri, Arial"/>
      </rPr>
      <t xml:space="preserve"> 2.</t>
    </r>
    <r>
      <rPr>
        <sz val="12"/>
        <color rgb="FF0000FF"/>
        <rFont val="Calibri, Arial"/>
      </rPr>
      <t xml:space="preserve"> Kontroll, justering, genomgång av gångjärn, bleck, dörrstängare,beslag, handtag, funktion. Ev. lagning/byte av slitna delar. </t>
    </r>
  </si>
  <si>
    <r>
      <rPr>
        <b/>
        <sz val="12"/>
        <color rgb="FF000000"/>
        <rFont val="Calibri"/>
        <family val="2"/>
      </rPr>
      <t xml:space="preserve">ingår i </t>
    </r>
    <r>
      <rPr>
        <i/>
        <sz val="12"/>
        <color rgb="FF000000"/>
        <rFont val="Calibri"/>
        <family val="2"/>
      </rPr>
      <t>AFF-kod SC2.33</t>
    </r>
  </si>
  <si>
    <r>
      <rPr>
        <b/>
        <sz val="12"/>
        <color rgb="FF000000"/>
        <rFont val="Calibri"/>
        <family val="2"/>
      </rPr>
      <t xml:space="preserve">ingår i </t>
    </r>
    <r>
      <rPr>
        <i/>
        <sz val="12"/>
        <color rgb="FF000000"/>
        <rFont val="Calibri"/>
        <family val="2"/>
      </rPr>
      <t>AFF-kod SC2.33</t>
    </r>
  </si>
  <si>
    <t>SC2.33</t>
  </si>
  <si>
    <t>Källardörrar</t>
  </si>
  <si>
    <t>Aluminiumdörrar: Entré baksida trappuppgång, 2 st trivsellokaler, cykelrum,  2 st. lokaler, fjärrvärmerum.</t>
  </si>
  <si>
    <t>Underhåll av 10 st. entrédörrar i aluminium med glas. Service: se över alla delar: rörliga delar i lås, beslag, glidare smörjs. Kontroll av skruvar, låskolv, bleck, el-slutbleck, tätningslister, dörrstängare. Justering av gångjärn, tätningstryck och höjdinställning. Justering av dörrstängare. Rengöring av aluminiumprofiler och glas. Material och arbete inräknat. Justering/ kontroll ca 630 kr/ dörr. Eventuellt material, smörjningsolja etc. 500 kr. Byte av trasiga delar ej inräknat. Årsintervaller årligen, min. 1-2 ggr/ år.</t>
  </si>
  <si>
    <t>Trädörrar gemensamhetsutrymmen</t>
  </si>
  <si>
    <t>Byte av trädörrar i gemensamhetsutrymmen:  Byte till trädörrar. Demontering och deponering av befintlig dörr. Montering av ny dörr. Montering av nya träkarmar, nya trösklar, nya handtag låskista, tätningslister, låskolv och låsbehör. Arbete och materialkostnader. Totalt ca 10 000 kr/ dörr. Material och arbete. Livslängd 25 år.</t>
  </si>
  <si>
    <t>Byte av trädörrar i gemensamhetsutrymmen:  Byte till trädörrarDemontering och deponering av befintlig dörr. Montering av ny dörr. Montering av nya träkarmar, nya trösklar, nya handtag låskista, tätningslister, låskolv och låsbehör. Arbete och materialkostnader. Totalt ca 10 000 kr/ dörr. Material och arbete ca 2000 kr per dörr. Livslängd 25 år.</t>
  </si>
  <si>
    <t>Trädörrar källardel</t>
  </si>
  <si>
    <t xml:space="preserve">Byte källardörrar trä. </t>
  </si>
  <si>
    <t>Byte av trädörrar i gemensamhetsutrymmen:  Byte till trädörrar. Demontering och deponering av befintlig dörr. Montering av ny dörr. Montering av nya träkarmar, nya trösklar, nya handtag låskista, tätningslister, låskolv och låsbehör. Arbete och materialkostnader. Totalt ca 10 000 kr/ dörr. Material och arbete ca 2000 kr per dörr. Livslängd 25 år.</t>
  </si>
  <si>
    <t>Ståldörrar källare och ingång till vind.</t>
  </si>
  <si>
    <t>Byte till ny ståldörrar utan glas.</t>
  </si>
  <si>
    <t xml:space="preserve"> Byte till nya ståldörrar, brandklassade, med nya karmar, beslag, handtag, låskista, gångjärn, bleck, dörrstängare m.m.. Material och arbete inräknat. Årsintervaller 30-35 år.  </t>
  </si>
  <si>
    <r>
      <rPr>
        <b/>
        <sz val="12"/>
        <color theme="1"/>
        <rFont val="Calibri"/>
        <family val="2"/>
      </rPr>
      <t>1</t>
    </r>
    <r>
      <rPr>
        <sz val="12"/>
        <color theme="1"/>
        <rFont val="Calibri"/>
        <family val="2"/>
      </rPr>
      <t>. Ommålning av utsida och insida trädörrar.</t>
    </r>
    <r>
      <rPr>
        <b/>
        <sz val="12"/>
        <color theme="1"/>
        <rFont val="Calibri"/>
        <family val="2"/>
      </rPr>
      <t xml:space="preserve"> 2.</t>
    </r>
    <r>
      <rPr>
        <sz val="12"/>
        <color theme="1"/>
        <rFont val="Calibri"/>
        <family val="2"/>
      </rPr>
      <t xml:space="preserve"> Kontroll, justering, genomgång av gångjärn, bleck, dörrstängare,beslag, handtag, funktion. Ev. lagning/byte av slitna delar. </t>
    </r>
  </si>
  <si>
    <t>Underhåll av 32 st dörrar i trä till genemsamma utrymmen mm. målning, 2 ggr strykning in-och utsida. Funktionskontroll, justering, genomgång och smörjning av gångjärn, bleck, beslag, handtag. Lagning/byte av slitna delar. Material och arbete inräknat. Årsintervall 10 år.</t>
  </si>
  <si>
    <t xml:space="preserve">1. Ståldörrar: Ommålning av utsida och insida dörr. 2. Kontroll, justering, genomgång av gångjärn, bleck, dörrstängare,beslag, handtag, funktion. Ev. lagning/byte av slitna delar. </t>
  </si>
  <si>
    <t>SC2.34</t>
  </si>
  <si>
    <t>Dörrar till soprum</t>
  </si>
  <si>
    <t>ingår i AFF-kod SC2.33</t>
  </si>
  <si>
    <t>SC2.35</t>
  </si>
  <si>
    <t>Dörrar till vind</t>
  </si>
  <si>
    <r>
      <rPr>
        <sz val="12"/>
        <color rgb="FF000000"/>
        <rFont val="Calibri"/>
        <family val="2"/>
      </rPr>
      <t xml:space="preserve">ingår i </t>
    </r>
    <r>
      <rPr>
        <i/>
        <sz val="12"/>
        <color rgb="FF000000"/>
        <rFont val="Calibri"/>
        <family val="2"/>
      </rPr>
      <t xml:space="preserve">AFF-kod SC2.33 </t>
    </r>
    <r>
      <rPr>
        <sz val="12"/>
        <color rgb="FF000000"/>
        <rFont val="Calibri"/>
        <family val="2"/>
      </rPr>
      <t>Ståldörrar källare och ingång till vind.</t>
    </r>
  </si>
  <si>
    <r>
      <rPr>
        <sz val="12"/>
        <color rgb="FF000000"/>
        <rFont val="Calibri"/>
        <family val="2"/>
      </rPr>
      <t xml:space="preserve">ingår i </t>
    </r>
    <r>
      <rPr>
        <i/>
        <sz val="12"/>
        <color rgb="FF000000"/>
        <rFont val="Calibri"/>
        <family val="2"/>
      </rPr>
      <t xml:space="preserve">AFF-kod SC2.33 </t>
    </r>
    <r>
      <rPr>
        <sz val="12"/>
        <color rgb="FF000000"/>
        <rFont val="Calibri"/>
        <family val="2"/>
      </rPr>
      <t>Ståldörrar källare och ingång till vind.</t>
    </r>
  </si>
  <si>
    <t>SC3</t>
  </si>
  <si>
    <t>Byggnad invänigt</t>
  </si>
  <si>
    <t>SC3.1</t>
  </si>
  <si>
    <t>Driftutrymmen</t>
  </si>
  <si>
    <t>SC3.2</t>
  </si>
  <si>
    <t>Elrum, Kabel-TV, Bredband</t>
  </si>
  <si>
    <r>
      <rPr>
        <b/>
        <sz val="12"/>
        <color rgb="FF000000"/>
        <rFont val="Calibri"/>
        <family val="2"/>
      </rPr>
      <t>Enheter, säkringar m.m. är uppsatta i källarförråd. Underhåll se</t>
    </r>
    <r>
      <rPr>
        <b/>
        <i/>
        <sz val="12"/>
        <color rgb="FF000000"/>
        <rFont val="Calibri"/>
        <family val="2"/>
      </rPr>
      <t xml:space="preserve"> AFF-kod SC3.21</t>
    </r>
  </si>
  <si>
    <t>SC3.3</t>
  </si>
  <si>
    <t>Fjärrvärmecentral</t>
  </si>
  <si>
    <t>Ommålning golv, väggar och tak. Lagning/ vid behov ifyllnad av murbruk/puts.</t>
  </si>
  <si>
    <t>Arbete inkl material, ommålning, slipning och ev. spackling och ifyllnad av murbruk/puts av alla ytskikt i undercentralen. Vid behov ifyllnad av murbruk/puts. Dammbindning/härdning betongolv. Arbetstid tot. ca 32 h, 2 ggr strykning.  Uppskattade materialkostnader ca 2 000 kr. Årsintervall 15-20 år.</t>
  </si>
  <si>
    <t>Gemensamma utrymmen</t>
  </si>
  <si>
    <t>SC3.21</t>
  </si>
  <si>
    <t xml:space="preserve">Källarförråd </t>
  </si>
  <si>
    <t>Alla källarförråd och källarkorridorer</t>
  </si>
  <si>
    <t>Underhåll ytskikt och förråd källaren: Ommålning /lagning/ ifyllnad av murbruk/puts vid behov.</t>
  </si>
  <si>
    <t>Arbete inkl. Material.  Ommålning, slipning, spackling och ifyllnad av murbruk/puts av  ytskikten, golv, väggar och tak i förråden och förrådutrymmen. Nedknackning av dålig puts, iffyllnad av ny puts. Lagning av sprickor i väggar, golv och tak. Vid behov lagning/ underhåll trä förråd.  Vid behov, dammbindning/ härdning av betonggolv. Arbetstid uppskatatt ca 40 h per källare och förrådsutrymmen i hus, tot. ca 120 h, 2 ggr strykning. Vid behov borttagning av elinstallationer/ uttag och kablage. Uppskattad materialkostnad och oförutsedda arbeten 30 000 kr.  Årsintervall 15-20 år. Förutsätter att förråden är tomma.</t>
  </si>
  <si>
    <t>SC3.22</t>
  </si>
  <si>
    <t>Möteslokal</t>
  </si>
  <si>
    <t>2 st  möteslokaler/trivsellokaler</t>
  </si>
  <si>
    <t>Underhåll ytskikt: Ommålning /lagning/ ifyllnad av murbruk/puts vid behov.</t>
  </si>
  <si>
    <t xml:space="preserve">Arbete inkl. Material.  Ommålning, slipning, spackling och ifyllnad av murbruk/puts av  ytskikten, väggar och tak i Nedknackning av dålig puts, iffyllnad av ny puts. Lagning av sprickor i väggar och tak., 2 ggr strykning. Uppskattad materialkostnad och oförutsedda arbeten 5 000 kr. Årsintervall 15-20 år. Material 3 000 kr. </t>
  </si>
  <si>
    <t>SC3.23</t>
  </si>
  <si>
    <t>Skyddsrum</t>
  </si>
  <si>
    <t>SC3.24</t>
  </si>
  <si>
    <t>Tvättstuga</t>
  </si>
  <si>
    <t>2019 - Tvättstuga renoverad</t>
  </si>
  <si>
    <t>Ommålning/skrapning/  spackling väggar och tak. Underhåll golv.</t>
  </si>
  <si>
    <t>Underhåll ytskikten i Tvättstuga. Ommålning, spackling, väggar och tak. Vid behov ifyllnad av puts i  väggar och tak. Vid behov, bortskrapning av dålig fog i klinkersgolv och vägg, ifyllnad/ omfogning med ny fog i passagen/korridoren. Arbetstid tot. ca 40 h, 2 ggr strykning. Materialkostnad ca 4 000 kr. Pris arbete inkl. Material. Årsintervall 15-20 år.</t>
  </si>
  <si>
    <t>SC3.25</t>
  </si>
  <si>
    <t>Torkrum</t>
  </si>
  <si>
    <t>2019 - Torkrum renoverat</t>
  </si>
  <si>
    <t>Underhåll ytskikten i torkrum. Ommålning, spackling, väggar och tak. Vid behov ifyllnad av puts i  väggar och tak. Arbetstid tot. ca 40 h, 2 ggr strykning. Materialkostnad ca 4 000 kr. Pris arbete inkl. Material. Årsintervall 15-20 år.</t>
  </si>
  <si>
    <t>Mangelrum</t>
  </si>
  <si>
    <t>2019 - Mangelrum renoverat</t>
  </si>
  <si>
    <t>SC3.241</t>
  </si>
  <si>
    <t>Tvättmaskin</t>
  </si>
  <si>
    <t>2019 - Nya tvättmaskiner. Podab</t>
  </si>
  <si>
    <t xml:space="preserve">Byte av  tvättmaskinerna </t>
  </si>
  <si>
    <t>Byte av 2 st. nya tvättmaskiner. Livslängd 12-15 år</t>
  </si>
  <si>
    <t>SC3.242</t>
  </si>
  <si>
    <t xml:space="preserve">Torktumlare </t>
  </si>
  <si>
    <t>2019 - Ny torktumlare, Podab</t>
  </si>
  <si>
    <t>Byte av torktumlare .</t>
  </si>
  <si>
    <t>Byte av 2 st. nya torktumlare. Livslängd 12-15 år</t>
  </si>
  <si>
    <t>SC3.243</t>
  </si>
  <si>
    <t xml:space="preserve">Mangel </t>
  </si>
  <si>
    <t>EL-mangel äldre modell, Electrolux</t>
  </si>
  <si>
    <t>Byte till ny mangel</t>
  </si>
  <si>
    <t>Byte av 1 st. ny el- mangel. Livslängd 15 år.</t>
  </si>
  <si>
    <t>SC3.244</t>
  </si>
  <si>
    <t>Torkaggregat</t>
  </si>
  <si>
    <t>2019 - Nytt torkaggregat, Podab</t>
  </si>
  <si>
    <t>Byte torkaggregat</t>
  </si>
  <si>
    <t>Byte av  1 st. torkaggregat. Livslängd 15 år.</t>
  </si>
  <si>
    <t>Byte av torkaggregat. Livslängd 15 år.</t>
  </si>
  <si>
    <t>SC3.245</t>
  </si>
  <si>
    <t>Tvättbänk med blandare</t>
  </si>
  <si>
    <t xml:space="preserve">2019 - Nya blandare i tvättstugorna </t>
  </si>
  <si>
    <t>Byte av tvätthandfat med blandare</t>
  </si>
  <si>
    <t>Byte av tvättbänk/handfat med blandare i tvättstuga. Livslängd ca 30 år.</t>
  </si>
  <si>
    <t>SC3.246</t>
  </si>
  <si>
    <t>Toalett/ duschutrymme i allmänna utrymmen</t>
  </si>
  <si>
    <t>3 st toaletter i gemensamhetsutrymmen</t>
  </si>
  <si>
    <t xml:space="preserve">Byte av toaletter och övriga delar samt ommålning </t>
  </si>
  <si>
    <r>
      <rPr>
        <b/>
        <sz val="12"/>
        <color theme="1"/>
        <rFont val="Calibri"/>
        <family val="2"/>
      </rPr>
      <t>1.</t>
    </r>
    <r>
      <rPr>
        <sz val="12"/>
        <color theme="1"/>
        <rFont val="Calibri"/>
        <family val="2"/>
      </rPr>
      <t xml:space="preserve"> </t>
    </r>
    <r>
      <rPr>
        <b/>
        <i/>
        <sz val="12"/>
        <color theme="1"/>
        <rFont val="Calibri"/>
        <family val="2"/>
      </rPr>
      <t>Toalett : Byte av</t>
    </r>
    <r>
      <rPr>
        <sz val="12"/>
        <color theme="1"/>
        <rFont val="Calibri"/>
        <family val="2"/>
      </rPr>
      <t xml:space="preserve"> toalett, spegel och handfat inkl. VVS- arbete</t>
    </r>
    <r>
      <rPr>
        <b/>
        <sz val="12"/>
        <color theme="1"/>
        <rFont val="Calibri"/>
        <family val="2"/>
      </rPr>
      <t xml:space="preserve"> 13 000 kr. 2. </t>
    </r>
    <r>
      <rPr>
        <sz val="12"/>
        <color theme="1"/>
        <rFont val="Calibri"/>
        <family val="2"/>
      </rPr>
      <t>Ommålning tak och väggar,  skrapning  spackling/ grundning, och 2ggr strykning ca</t>
    </r>
    <r>
      <rPr>
        <b/>
        <sz val="12"/>
        <color theme="1"/>
        <rFont val="Calibri"/>
        <family val="2"/>
      </rPr>
      <t xml:space="preserve"> 6 000 kr.</t>
    </r>
    <r>
      <rPr>
        <sz val="12"/>
        <color theme="1"/>
        <rFont val="Calibri"/>
        <family val="2"/>
      </rPr>
      <t xml:space="preserve">  </t>
    </r>
  </si>
  <si>
    <r>
      <rPr>
        <b/>
        <sz val="12"/>
        <color theme="1"/>
        <rFont val="Calibri"/>
        <family val="2"/>
      </rPr>
      <t>1.</t>
    </r>
    <r>
      <rPr>
        <sz val="12"/>
        <color theme="1"/>
        <rFont val="Calibri"/>
        <family val="2"/>
      </rPr>
      <t xml:space="preserve"> </t>
    </r>
    <r>
      <rPr>
        <b/>
        <i/>
        <sz val="12"/>
        <color theme="1"/>
        <rFont val="Calibri"/>
        <family val="2"/>
      </rPr>
      <t>Toalett : Byte av</t>
    </r>
    <r>
      <rPr>
        <sz val="12"/>
        <color theme="1"/>
        <rFont val="Calibri"/>
        <family val="2"/>
      </rPr>
      <t xml:space="preserve"> toalett, spegel och handfat inkl. VVS- arbete</t>
    </r>
    <r>
      <rPr>
        <b/>
        <sz val="12"/>
        <color theme="1"/>
        <rFont val="Calibri"/>
        <family val="2"/>
      </rPr>
      <t xml:space="preserve"> 13 000 kr. 2. </t>
    </r>
    <r>
      <rPr>
        <sz val="12"/>
        <color theme="1"/>
        <rFont val="Calibri"/>
        <family val="2"/>
      </rPr>
      <t>Ommålning tak och väggar,  skrapning  spackling/ grundning, och 2ggr strykning ca</t>
    </r>
    <r>
      <rPr>
        <b/>
        <sz val="12"/>
        <color theme="1"/>
        <rFont val="Calibri"/>
        <family val="2"/>
      </rPr>
      <t xml:space="preserve"> 6 000 kr.</t>
    </r>
    <r>
      <rPr>
        <sz val="12"/>
        <color theme="1"/>
        <rFont val="Calibri"/>
        <family val="2"/>
      </rPr>
      <t xml:space="preserve">  </t>
    </r>
  </si>
  <si>
    <t>Cykelrum</t>
  </si>
  <si>
    <t>Ommålning /lagning/skrapning/  spackling/ ifyllnad av murbruk/puts vid behov. Golv, väggar och tak.</t>
  </si>
  <si>
    <t xml:space="preserve">Arbete inkl. Material.  Ommålning, slipning, spackling och ifyllnad av murbruk/puts av  ytskikten, golv, väggar och tak i cykelrummet. Ev. dammbindning/  härdning betonggolv. Arbetstid tot. ca 24 h, 2 ggr strykning.                                                                                 Årsintervall 15-20 år. </t>
  </si>
  <si>
    <t>SC3.26</t>
  </si>
  <si>
    <t>Källarkorridorer</t>
  </si>
  <si>
    <t xml:space="preserve">Se AFF-kod SC3.21 / Källarförråd </t>
  </si>
  <si>
    <t>SC3.27</t>
  </si>
  <si>
    <t>Barnvagnsrum</t>
  </si>
  <si>
    <t>Se AFF-kod SC3.25 / Cykelrum</t>
  </si>
  <si>
    <t>SC3.28</t>
  </si>
  <si>
    <t>Avfallsrum/miljörum</t>
  </si>
  <si>
    <t>Miljöstation yttre miljö</t>
  </si>
  <si>
    <t>1. Ommålning /skrapning trä väggar och tak. 2. Vid behov lagning, byte av träpanel.</t>
  </si>
  <si>
    <t xml:space="preserve"> Underhåll Miljöhus på baksida gård: Väggar  skrapning, spackling, ommålning. Vid behov byte av skadade eller fuktskadade träpaneler. Arbetstid  ca 24 h, 2 ggr strykning. Arbete inkl. Material. 3000 kr. Årsintervaller 15-20 år</t>
  </si>
  <si>
    <t>SC3.29</t>
  </si>
  <si>
    <t>Vindsutrymme</t>
  </si>
  <si>
    <t>SC3.30</t>
  </si>
  <si>
    <t>Trapphus</t>
  </si>
  <si>
    <t xml:space="preserve"> 3 st.  trapphus</t>
  </si>
  <si>
    <r>
      <rPr>
        <b/>
        <sz val="12"/>
        <color theme="1"/>
        <rFont val="Calibri"/>
        <family val="2"/>
      </rPr>
      <t>1</t>
    </r>
    <r>
      <rPr>
        <sz val="12"/>
        <color theme="1"/>
        <rFont val="Calibri"/>
        <family val="2"/>
      </rPr>
      <t xml:space="preserve">. Ommålning  av  trapphusets ytskikt. </t>
    </r>
    <r>
      <rPr>
        <b/>
        <sz val="12"/>
        <color theme="1"/>
        <rFont val="Calibri"/>
        <family val="2"/>
      </rPr>
      <t>2.</t>
    </r>
    <r>
      <rPr>
        <sz val="12"/>
        <color theme="1"/>
        <rFont val="Calibri"/>
        <family val="2"/>
      </rPr>
      <t xml:space="preserve"> Behandling/underhåll av entré stengolv, viloplan och trappor. </t>
    </r>
  </si>
  <si>
    <t>Underhåll trapphuset:  3 st. Trapphus  inkl. 3 våningar vadera. Tot. 9 st våningsplan  och entréer. Trapphustaket och väggar : Skrapning, spackling, grundning och ommålning, 2ggr strykning, vid behov nedknackning av dålig puts, ifyllnad av ny puts. Arbetskostnad 688 kr/ h, Arbetstid ca 40 h per trapphus. Materialkostnad och arbetskostnad ca 20 000 kr / våning.  Oförutsedda kostnader tot. 15 000 kr per trapphus. Årsintervall 20 år.</t>
  </si>
  <si>
    <t>3 st.  trapphus</t>
  </si>
  <si>
    <r>
      <rPr>
        <b/>
        <sz val="12"/>
        <color theme="1"/>
        <rFont val="Calibri"/>
        <family val="2"/>
      </rPr>
      <t>1</t>
    </r>
    <r>
      <rPr>
        <sz val="12"/>
        <color theme="1"/>
        <rFont val="Calibri"/>
        <family val="2"/>
      </rPr>
      <t xml:space="preserve">. Ommålning  av  trapphusets ytskikt. </t>
    </r>
    <r>
      <rPr>
        <b/>
        <sz val="12"/>
        <color theme="1"/>
        <rFont val="Calibri"/>
        <family val="2"/>
      </rPr>
      <t>2.</t>
    </r>
    <r>
      <rPr>
        <sz val="12"/>
        <color theme="1"/>
        <rFont val="Calibri"/>
        <family val="2"/>
      </rPr>
      <t xml:space="preserve"> Behandling/underhåll av entré stengolv, viloplan och trappor. </t>
    </r>
  </si>
  <si>
    <t>SC3.301</t>
  </si>
  <si>
    <t>Handledare/ledstång och handräcke</t>
  </si>
  <si>
    <t>3 st. trapphus</t>
  </si>
  <si>
    <t xml:space="preserve">Renovering av handledare och handräcken i  trapphus. Slipning, lagning, målning, lackning, av befintliga räcken av smide/ stål. Alternativt byte till nya. </t>
  </si>
  <si>
    <r>
      <rPr>
        <sz val="12"/>
        <color theme="1"/>
        <rFont val="Calibri"/>
        <family val="2"/>
      </rPr>
      <t xml:space="preserve">Underhåll för 3 st. trapphus: 1. Handledare i  stål och  smideräcken &amp; : slipning, ommålning, lackning, renovering av befintliga stålräcken.  2ggr strykning.  Arbetskostnad 688 kr/ h. Arbetstid ca 40 h per trapphus. Pris för oförutsedda kostnader och arbete ca 10 000 kr per trapphus + tillbehör/delar: beslag,kopplingar, väggfästen m.m. </t>
    </r>
    <r>
      <rPr>
        <b/>
        <sz val="12"/>
        <color theme="1"/>
        <rFont val="Calibri"/>
        <family val="2"/>
      </rPr>
      <t xml:space="preserve">2. </t>
    </r>
    <r>
      <rPr>
        <sz val="12"/>
        <color theme="1"/>
        <rFont val="Calibri"/>
        <family val="2"/>
      </rPr>
      <t xml:space="preserve">Stål/ smideräcken: slipning, ommålning, lackning, renovering av befintliga stålräcken.  2ggr strykning.  </t>
    </r>
  </si>
  <si>
    <r>
      <rPr>
        <sz val="12"/>
        <color theme="1"/>
        <rFont val="Calibri"/>
        <family val="2"/>
      </rPr>
      <t xml:space="preserve">Underhåll för 3 st. trapphus: 1. Handledare i  stål och  smideräcken &amp; : slipning, ommålning, lackning, renovering av befintliga stålräcken.  2ggr strykning.  Arbetskostnad 688 kr/ h. Arbetstid ca 40 h per trapphus. Pris för oförutsedda kostnader och arbete ca 10 000 kr per trapphus + tillbehör/delar: beslag,kopplingar, väggfästen m.m. </t>
    </r>
    <r>
      <rPr>
        <b/>
        <sz val="12"/>
        <color theme="1"/>
        <rFont val="Calibri"/>
        <family val="2"/>
      </rPr>
      <t xml:space="preserve">2. </t>
    </r>
    <r>
      <rPr>
        <sz val="12"/>
        <color theme="1"/>
        <rFont val="Calibri"/>
        <family val="2"/>
      </rPr>
      <t xml:space="preserve">Stål/ smideräcken: slipning, ommålning, lackning, renovering av befintliga stålräcken.  2ggr strykning.  </t>
    </r>
  </si>
  <si>
    <t>SC3.31</t>
  </si>
  <si>
    <t>Hiss</t>
  </si>
  <si>
    <t>Enskilda utrymmen</t>
  </si>
  <si>
    <t>Bostäder</t>
  </si>
  <si>
    <t>SC3.32</t>
  </si>
  <si>
    <t>Uthyrningslokaler</t>
  </si>
  <si>
    <t xml:space="preserve">                                                                          Gemensamhetslokalen: Duschrum samt toalett </t>
  </si>
  <si>
    <t>Totalrenovering av duschrum och toalett.</t>
  </si>
  <si>
    <r>
      <rPr>
        <sz val="12"/>
        <color theme="1"/>
        <rFont val="Calibri"/>
        <family val="2"/>
      </rPr>
      <t xml:space="preserve">Renovering duschrum och  toalett.                                                                 </t>
    </r>
    <r>
      <rPr>
        <b/>
        <sz val="12"/>
        <color theme="1"/>
        <rFont val="Calibri"/>
        <family val="2"/>
      </rPr>
      <t>1.</t>
    </r>
    <r>
      <rPr>
        <sz val="12"/>
        <color theme="1"/>
        <rFont val="Calibri"/>
        <family val="2"/>
      </rPr>
      <t xml:space="preserve"> </t>
    </r>
    <r>
      <rPr>
        <i/>
        <sz val="12"/>
        <color theme="1"/>
        <rFont val="Calibri"/>
        <family val="2"/>
      </rPr>
      <t xml:space="preserve">Nya duschväggar, duschutrustning och toalett </t>
    </r>
    <r>
      <rPr>
        <b/>
        <i/>
        <sz val="12"/>
        <color theme="1"/>
        <rFont val="Calibri"/>
        <family val="2"/>
      </rPr>
      <t xml:space="preserve">25 000 </t>
    </r>
    <r>
      <rPr>
        <i/>
        <sz val="12"/>
        <color theme="1"/>
        <rFont val="Calibri"/>
        <family val="2"/>
      </rPr>
      <t xml:space="preserve">kr  ink </t>
    </r>
    <r>
      <rPr>
        <sz val="12"/>
        <color theme="1"/>
        <rFont val="Calibri"/>
        <family val="2"/>
      </rPr>
      <t>Arbete och material.</t>
    </r>
    <r>
      <rPr>
        <b/>
        <sz val="12"/>
        <color theme="1"/>
        <rFont val="Calibri"/>
        <family val="2"/>
      </rPr>
      <t xml:space="preserve"> 2.</t>
    </r>
    <r>
      <rPr>
        <sz val="12"/>
        <color theme="1"/>
        <rFont val="Calibri"/>
        <family val="2"/>
      </rPr>
      <t xml:space="preserve"> Ny komod, spegel och handfat inkl. VVS abete </t>
    </r>
    <r>
      <rPr>
        <b/>
        <sz val="12"/>
        <color theme="1"/>
        <rFont val="Calibri"/>
        <family val="2"/>
      </rPr>
      <t xml:space="preserve">7000 kr.  3. </t>
    </r>
    <r>
      <rPr>
        <sz val="12"/>
        <color theme="1"/>
        <rFont val="Calibri"/>
        <family val="2"/>
      </rPr>
      <t>Nytt klinkersgolv samt kakelväggar</t>
    </r>
    <r>
      <rPr>
        <b/>
        <sz val="12"/>
        <color theme="1"/>
        <rFont val="Calibri"/>
        <family val="2"/>
      </rPr>
      <t xml:space="preserve"> </t>
    </r>
    <r>
      <rPr>
        <sz val="12"/>
        <color theme="1"/>
        <rFont val="Calibri"/>
        <family val="2"/>
      </rPr>
      <t>inkl. Arbete och material. Demontering av befintliga duschmattor, våtrumsskikt m.m. Montering av nya våtrumsskikt, fogning, kakling av klinkers och kakel i både toalett och duschrum. Bortforsling och deponering av material, resor inräknat.</t>
    </r>
    <r>
      <rPr>
        <b/>
        <sz val="12"/>
        <color theme="1"/>
        <rFont val="Calibri"/>
        <family val="2"/>
      </rPr>
      <t xml:space="preserve"> 4.</t>
    </r>
    <r>
      <rPr>
        <sz val="12"/>
        <color theme="1"/>
        <rFont val="Calibri"/>
        <family val="2"/>
      </rPr>
      <t xml:space="preserve"> Fuktutredning genom fuktmätning, avfuktning och rapport före montering av nytt material.    Uppskattat totalpris inkl. material </t>
    </r>
    <r>
      <rPr>
        <b/>
        <sz val="12"/>
        <color theme="1"/>
        <rFont val="Calibri"/>
        <family val="2"/>
      </rPr>
      <t>150 000 kr.</t>
    </r>
  </si>
  <si>
    <t xml:space="preserve">Gemensamhetslokal : Kök och övriga ytor </t>
  </si>
  <si>
    <t xml:space="preserve">1. Ommålning och underhåll alla ytskikten: väggar och tak.                               2. Byte av , kyl/frys, kökstommar och insättning av diskmaskin  och spishäll.  </t>
  </si>
  <si>
    <t xml:space="preserve">Underhåll mötesrum: Alla ytskikten, väggar, golv och tak skrapning, spackling och ommålning 2 ggr strykning. Vid behov nedknackning av dålig puts, lagning/ ifyllnad av ny puts,murbruk. Arbetskostnad 40 timmar. 688 kr/h. Uppskattad materialkostnad, tex. målarförg, m.m. 10 000  kr. Arbetskostnad inkl. material.                                                                                                                            Livslängd 15 år väggar och tak. Ny Kyl/ frys 8000 kr. Ny spishäll 4000 kr. Ny diskmaskin 5000 kr.  stommar, luckor, diskbänk, fläkt, kryddskåp, skafferiskåp, städskåp, nytt kakel på väggen. 30 000 :-  Livslängd spishäll, diskmaskin samt kyl och frys ca 15 år. </t>
  </si>
  <si>
    <t xml:space="preserve">1. Ommålning och underhåll alla ytskikten: väggar och tak.                            2. Byte av , kyl/frys, diskmaskin  och spishäll.  </t>
  </si>
  <si>
    <t xml:space="preserve">Underhåll mötesrum: Alla ytskikten, väggar, golv och tak skrapning, spackling och ommålning 2 ggr strykning. Vid behov nedknackning av dålig puts, lagning/ ifyllnad av ny puts,murbruk. Arbetskostnad 40 timmar. 688 kr/h. Uppskattad materialkostnad, tex. målarfärg, m.m. 10 000  kr. Arbetskostnad inkl. material.                                                                                                                            Livslängd 15 år väggar och tak. Ny Kyl/ frys 8000 kr. Ny spishäll 4000 kr. Ny diskmaskin 5000 kr. Livslängd spishäll, diskmaskin samt kyl och frys ca 15 år. </t>
  </si>
  <si>
    <t>SC4</t>
  </si>
  <si>
    <t>VA-, VVS-, Kyl- och processmediesystem</t>
  </si>
  <si>
    <t>SC4.1</t>
  </si>
  <si>
    <t>VA, fjärrvärme, fjärrkylnät m.m. i mark</t>
  </si>
  <si>
    <t>Vattenledningsnät</t>
  </si>
  <si>
    <t>Under ronderingar: Se över isolering och läckage på rören.</t>
  </si>
  <si>
    <t>Vattenstammar livslängd 40-50 år.</t>
  </si>
  <si>
    <t>SC4.12</t>
  </si>
  <si>
    <t>Spillvattennät/avlopp</t>
  </si>
  <si>
    <t xml:space="preserve">                                                                                     1988- Stambyte</t>
  </si>
  <si>
    <t>Spolning av avloppsstammar, 5-års intervall</t>
  </si>
  <si>
    <t xml:space="preserve">Avloppsstammar,  badrum och kök spolas i alla lägenheter till bottenplattan, fram till kommunens anslutningspunkt. Filmning av stammar rekommenderas efteråt, för säkerhetsställa skicket, pris ca 1500 kr/h (ej medräknat i spolningspriset). Livslängd avloppsrör ca 50 år. Spolning rek. i min. 5 års intervaller. </t>
  </si>
  <si>
    <t>1. Filmning, spolning och relining av avloppsstammar. 2. Vid behov byte helt till nya avloppsstammar.</t>
  </si>
  <si>
    <r>
      <rPr>
        <sz val="12"/>
        <color theme="1"/>
        <rFont val="Calibri, Arial"/>
      </rPr>
      <t xml:space="preserve">1. Spolning och filmning av avloppsstammar. Vid hållbart skick: Relining av avlopppstammar och stickrör från lägenheterna ut till stammen. Relining kostar ca 10000- 20000 kr/lägenhet. Livslängd ca 50 år. Tillkommande arbeten, så som dragning till markplattan och oförutsedda kostnader, tex skador, spruckna rör, byte av toalettsitsar, lagningar m.m ca 500 000 kr / hus </t>
    </r>
    <r>
      <rPr>
        <b/>
        <sz val="12"/>
        <color theme="1"/>
        <rFont val="Calibri, Arial"/>
      </rPr>
      <t xml:space="preserve"> 2</t>
    </r>
    <r>
      <rPr>
        <sz val="12"/>
        <color theme="1"/>
        <rFont val="Calibri, Arial"/>
      </rPr>
      <t xml:space="preserve">. Vid behov, byte av avloppsstammar, badrum och kök i alla lägenheter och gemensammhetsutrymmen, till bottenplattan fram till kommunens anslutningspunkt. Håltagningar m.m. in i lägenheterna, rivning av badrum och kök, nya tätskikt, nya kök, nya badrum.  För korrekt prissättning krävs besiktning av stammar med behörig entreprenör och genomgång av vatten/rör- och avloppsritningar.  Livslängd ca 50 år. Tillkommande arbeten och oförutsedda kostnader, tex skador, spruckna rör, byte av toalettsitsar, lagninga m.m och byten fram till kommunens anslutningspunkt. </t>
    </r>
  </si>
  <si>
    <t>SC4.13</t>
  </si>
  <si>
    <t>Dagvattennät</t>
  </si>
  <si>
    <t>Spolning av hängrännor och stuprännor, från taken.</t>
  </si>
  <si>
    <t>Spolning av hängrännor och stuprör, från taken, Alla fasader. Beräknad kostnad  625 kr/h, arbetstid ca 16  h. Arbete med lift ca 4500 kr/ dag för hyra. Spolning av brunnar, rören utomhus vid behov. Filmning är att rekommendera vid behov för säkerhetsställa skicket i dagvattenbrunnar och dagvattenledningar/rör.</t>
  </si>
  <si>
    <t>SC4.14</t>
  </si>
  <si>
    <t>Dränvattennät</t>
  </si>
  <si>
    <t xml:space="preserve">Spolning av dagvatten ledningar och  dagvattenbrunnar utomhus,              5-10-års intervall </t>
  </si>
  <si>
    <t>Spolning av brunnar, rören utomhus. Intervall  5-10- år beroende på skicket. Filmning är att rekommendera vid behov för säkerhetsställa skicket i brunnar och rör.</t>
  </si>
  <si>
    <t>SC4.16</t>
  </si>
  <si>
    <t>Fjärrvärmenät</t>
  </si>
  <si>
    <t xml:space="preserve">Löpande årligen </t>
  </si>
  <si>
    <t>Löpande kontroller efter avvikelser</t>
  </si>
  <si>
    <t>Brf:en ansvarar över distibutionsrören efter väremväxlare,  ut i huset och in i lägenheterna. Löpande kontroller och service utförs efter behov och felindikationer.</t>
  </si>
  <si>
    <t>SC4.2</t>
  </si>
  <si>
    <t>Försörjningssystem för flytande och gasformiga medier i byggnad</t>
  </si>
  <si>
    <t>SC4.21</t>
  </si>
  <si>
    <t>Tappvattensystem i byggnad</t>
  </si>
  <si>
    <t>1988 - Byte av vattenledningsrör i lgh och fastigheten. Byte av avstängninsventiler, kall-och varmvatten rör i källare.                                              2016- Avstängningsventiler för kall-och varmvattenledningar bytta                                  2021- Ny fjärrvärmecentral</t>
  </si>
  <si>
    <r>
      <rPr>
        <b/>
        <sz val="12"/>
        <color theme="1"/>
        <rFont val="Calibri"/>
        <family val="2"/>
      </rPr>
      <t xml:space="preserve">Byte:                                                                    </t>
    </r>
    <r>
      <rPr>
        <sz val="12"/>
        <color theme="1"/>
        <rFont val="Calibri"/>
        <family val="2"/>
      </rPr>
      <t>Ställdon tappvarmvatten</t>
    </r>
  </si>
  <si>
    <t>Byte av ställdon tappvarmvatten, Livslängd 10 år</t>
  </si>
  <si>
    <t>Isolering av kall-och varmvattenrör</t>
  </si>
  <si>
    <t>Isolering av kall-och varmvattenrör där det saknas/ är bristande.</t>
  </si>
  <si>
    <t>Överyn och komplettering Isolering av kall-och varmvattenrör där det saknas/ är bristande i källarekorridorer, källarutrymmen.</t>
  </si>
  <si>
    <t/>
  </si>
  <si>
    <r>
      <rPr>
        <b/>
        <sz val="12"/>
        <color theme="1"/>
        <rFont val="Calibri"/>
        <family val="2"/>
      </rPr>
      <t xml:space="preserve">Byte:                                                                    </t>
    </r>
    <r>
      <rPr>
        <sz val="12"/>
        <color theme="1"/>
        <rFont val="Calibri"/>
        <family val="2"/>
      </rPr>
      <t>Styrventil tappvarmvatten</t>
    </r>
  </si>
  <si>
    <r>
      <rPr>
        <b/>
        <sz val="12"/>
        <color theme="1"/>
        <rFont val="Calibri"/>
        <family val="2"/>
      </rPr>
      <t xml:space="preserve">Byte av:                                               </t>
    </r>
    <r>
      <rPr>
        <sz val="12"/>
        <color theme="1"/>
        <rFont val="Calibri"/>
        <family val="2"/>
      </rPr>
      <t xml:space="preserve">        -Cirkulationspump,vatten Modell  Modell Grundfos  Effekt 0,5 kW.   </t>
    </r>
  </si>
  <si>
    <t>Byte av Cirkulationspump för vatten i undercentralen.    Modell Grundfos . Effekt 0,5 KW.   Livslängd 10-15 år.</t>
  </si>
  <si>
    <r>
      <rPr>
        <b/>
        <sz val="12"/>
        <color theme="1"/>
        <rFont val="Calibri"/>
        <family val="2"/>
      </rPr>
      <t xml:space="preserve">Byte av:                                                       </t>
    </r>
    <r>
      <rPr>
        <sz val="12"/>
        <color theme="1"/>
        <rFont val="Calibri"/>
        <family val="2"/>
      </rPr>
      <t>-DUC central, Styr-och reglerenhet för tappvarmvattnet</t>
    </r>
  </si>
  <si>
    <t>Byte av styr-och reglerenhet, kretskort, för varmvatten i undercentralen. Livslängd 12-15 år.</t>
  </si>
  <si>
    <r>
      <rPr>
        <b/>
        <sz val="12"/>
        <color theme="1"/>
        <rFont val="Calibri"/>
        <family val="2"/>
      </rPr>
      <t xml:space="preserve">Byte av:                                                                  </t>
    </r>
    <r>
      <rPr>
        <sz val="12"/>
        <color theme="1"/>
        <rFont val="Calibri"/>
        <family val="2"/>
      </rPr>
      <t xml:space="preserve">  Värmeväxlare- Varmvatten (ca 70 000 kr)</t>
    </r>
  </si>
  <si>
    <r>
      <rPr>
        <sz val="12"/>
        <color theme="1"/>
        <rFont val="Calibri"/>
        <family val="2"/>
      </rPr>
      <t xml:space="preserve">Byte av  värmeväxlare- tappvatten i fjärrvärmecentralen. Livslängd ca 20 - 25 år. Alternativet är investering i helt ny fjärrvärmecentral, se </t>
    </r>
    <r>
      <rPr>
        <i/>
        <sz val="12"/>
        <color theme="1"/>
        <rFont val="Calibri"/>
        <family val="2"/>
      </rPr>
      <t>AFF- kod SC4.62</t>
    </r>
  </si>
  <si>
    <r>
      <rPr>
        <b/>
        <sz val="12"/>
        <color theme="1"/>
        <rFont val="Calibri"/>
        <family val="2"/>
      </rPr>
      <t xml:space="preserve">Byte:                                                                    </t>
    </r>
    <r>
      <rPr>
        <sz val="12"/>
        <color theme="1"/>
        <rFont val="Calibri"/>
        <family val="2"/>
      </rPr>
      <t>Ställdon tappvarmvatten</t>
    </r>
  </si>
  <si>
    <r>
      <rPr>
        <b/>
        <sz val="12"/>
        <color theme="1"/>
        <rFont val="Calibri"/>
        <family val="2"/>
      </rPr>
      <t xml:space="preserve">Byte:                                                                    </t>
    </r>
    <r>
      <rPr>
        <sz val="12"/>
        <color theme="1"/>
        <rFont val="Calibri"/>
        <family val="2"/>
      </rPr>
      <t>Styrventil tappvarmvatten</t>
    </r>
  </si>
  <si>
    <r>
      <rPr>
        <b/>
        <sz val="12"/>
        <color theme="1"/>
        <rFont val="Calibri"/>
        <family val="2"/>
      </rPr>
      <t xml:space="preserve">Byte av:                                               </t>
    </r>
    <r>
      <rPr>
        <sz val="12"/>
        <color theme="1"/>
        <rFont val="Calibri"/>
        <family val="2"/>
      </rPr>
      <t xml:space="preserve">        -Cirkulationspump,vatten Modell  Modell Grundfos  Effekt 0,5 kW.   </t>
    </r>
  </si>
  <si>
    <r>
      <rPr>
        <b/>
        <sz val="12"/>
        <color theme="1"/>
        <rFont val="Calibri"/>
        <family val="2"/>
      </rPr>
      <t xml:space="preserve">Byte av:                                                       </t>
    </r>
    <r>
      <rPr>
        <sz val="12"/>
        <color theme="1"/>
        <rFont val="Calibri"/>
        <family val="2"/>
      </rPr>
      <t>-DUC central, Styr-och reglerenhet för tappvarmvattnet</t>
    </r>
  </si>
  <si>
    <r>
      <rPr>
        <b/>
        <sz val="12"/>
        <color theme="1"/>
        <rFont val="Calibri"/>
        <family val="2"/>
      </rPr>
      <t xml:space="preserve">Byte:                                                                    </t>
    </r>
    <r>
      <rPr>
        <sz val="12"/>
        <color theme="1"/>
        <rFont val="Calibri"/>
        <family val="2"/>
      </rPr>
      <t>Ställdon tappvarmvatten</t>
    </r>
  </si>
  <si>
    <r>
      <rPr>
        <b/>
        <sz val="12"/>
        <color theme="1"/>
        <rFont val="Calibri"/>
        <family val="2"/>
      </rPr>
      <t xml:space="preserve">Byte:                                                                    </t>
    </r>
    <r>
      <rPr>
        <sz val="12"/>
        <color theme="1"/>
        <rFont val="Calibri"/>
        <family val="2"/>
      </rPr>
      <t>Styrventil tappvarmvatten</t>
    </r>
  </si>
  <si>
    <r>
      <rPr>
        <b/>
        <sz val="12"/>
        <color theme="1"/>
        <rFont val="Calibri"/>
        <family val="2"/>
      </rPr>
      <t xml:space="preserve">Byte av:                                                                        </t>
    </r>
    <r>
      <rPr>
        <sz val="12"/>
        <color theme="1"/>
        <rFont val="Calibri"/>
        <family val="2"/>
      </rPr>
      <t>Avstängningsventiler, VA- stammar</t>
    </r>
  </si>
  <si>
    <t>Byte av avstängningsventiler, Vatten-och avloppsstammar. Pris ca 3 500 kr / ventil. Livslängd ca 50 år.</t>
  </si>
  <si>
    <r>
      <rPr>
        <b/>
        <sz val="12"/>
        <color theme="1"/>
        <rFont val="Calibri"/>
        <family val="2"/>
      </rPr>
      <t xml:space="preserve">Byte av:                                                                </t>
    </r>
    <r>
      <rPr>
        <sz val="12"/>
        <color theme="1"/>
        <rFont val="Calibri"/>
        <family val="2"/>
      </rPr>
      <t>KV-VV-ledningar: Kall-och varmvatten ledningar</t>
    </r>
  </si>
  <si>
    <t>Byte av kall-och varmvatten ledningar för ca 30  st. lgh och 2 st. kommersiella lokaler samt inkommande ledningar i fastigheterna. Pris ca 80 000 kr/ lgh. Livslängd 30-40 år.</t>
  </si>
  <si>
    <t>SC4.3</t>
  </si>
  <si>
    <t>Avloppsvattensystem i byggnad</t>
  </si>
  <si>
    <t>SC4.6</t>
  </si>
  <si>
    <t>Värmesystem i byggnad</t>
  </si>
  <si>
    <t>Energideklaration</t>
  </si>
  <si>
    <t xml:space="preserve">2019 - Energideklaration utförd </t>
  </si>
  <si>
    <t>Utförande av Energideklaration. Intervall 10:e år.</t>
  </si>
  <si>
    <r>
      <rPr>
        <sz val="12"/>
        <color theme="1"/>
        <rFont val="Calibri"/>
        <family val="2"/>
      </rPr>
      <t xml:space="preserve">Energideklaration skall utföras var 10:e år och är reglerad genom </t>
    </r>
    <r>
      <rPr>
        <i/>
        <sz val="12"/>
        <color theme="1"/>
        <rFont val="Calibri"/>
        <family val="2"/>
      </rPr>
      <t>Lag (2006:985) om energideklaration för byggnader.</t>
    </r>
    <r>
      <rPr>
        <sz val="12"/>
        <color theme="1"/>
        <rFont val="Calibri"/>
        <family val="2"/>
      </rPr>
      <t xml:space="preserve"> Lagens syfte är att främja en effektiv energianvändning och en god inomhusmiljö i byggnader.
Energideklarationen beskriver en byggnads energianvändning och gör en jämförelse med liknande byggnader. 
Energideklarationen skall om möjligt innehålla råd och åtgärdsförslag som kan vidtas för att sänka 
energianvändningen. </t>
    </r>
  </si>
  <si>
    <r>
      <rPr>
        <sz val="12"/>
        <color theme="1"/>
        <rFont val="Calibri"/>
        <family val="2"/>
      </rPr>
      <t xml:space="preserve">Energideklaration skall utföras var 10:e år och är reglerad genom </t>
    </r>
    <r>
      <rPr>
        <i/>
        <sz val="12"/>
        <color theme="1"/>
        <rFont val="Calibri"/>
        <family val="2"/>
      </rPr>
      <t>Lag (2006:985) om energideklaration för byggnader.</t>
    </r>
    <r>
      <rPr>
        <sz val="12"/>
        <color theme="1"/>
        <rFont val="Calibri"/>
        <family val="2"/>
      </rPr>
      <t xml:space="preserve"> Lagens syfte är att främja en effektiv energianvändning och en god inomhusmiljö i byggnader.
Energideklarationen beskriver en byggnads energianvändning och gör en jämförelse med liknande byggnader. 
Energideklarationen skall om möjligt innehålla råd och åtgärdsförslag som kan vidtas för att sänka 
energianvändningen. </t>
    </r>
  </si>
  <si>
    <r>
      <rPr>
        <sz val="12"/>
        <color theme="1"/>
        <rFont val="Calibri"/>
        <family val="2"/>
      </rPr>
      <t xml:space="preserve">Energideklaration skall utföras var 10:e år och är reglerad genom </t>
    </r>
    <r>
      <rPr>
        <i/>
        <sz val="12"/>
        <color theme="1"/>
        <rFont val="Calibri"/>
        <family val="2"/>
      </rPr>
      <t>Lag (2006:985) om energideklaration för byggnader.</t>
    </r>
    <r>
      <rPr>
        <sz val="12"/>
        <color theme="1"/>
        <rFont val="Calibri"/>
        <family val="2"/>
      </rPr>
      <t xml:space="preserve"> Lagens syfte är att främja en effektiv energianvändning och en god inomhusmiljö i byggnader.
Energideklarationen beskriver en byggnads energianvändning och gör en jämförelse med liknande byggnader. 
Energideklarationen skall om möjligt innehålla råd och åtgärdsförslag som kan vidtas för att sänka 
energianvändningen. </t>
    </r>
  </si>
  <si>
    <t>SC4.62</t>
  </si>
  <si>
    <t>Värmeproduktions-installationer</t>
  </si>
  <si>
    <t xml:space="preserve">2021- Ny fjärrvärmecentral, Ny värmeväxlare, Nytt expansionkärl </t>
  </si>
  <si>
    <t xml:space="preserve">Justering av värmesystemet. </t>
  </si>
  <si>
    <t xml:space="preserve">Service utförs vid behov. </t>
  </si>
  <si>
    <t xml:space="preserve">Besiktning av expansionkärl </t>
  </si>
  <si>
    <t>Besiktning av expansionskärl för att kontrollera att tryck och temperatur. Utförs vart 4e år.</t>
  </si>
  <si>
    <r>
      <rPr>
        <b/>
        <sz val="12"/>
        <color theme="1"/>
        <rFont val="Calibri"/>
        <family val="2"/>
      </rPr>
      <t xml:space="preserve">Byte av:                                                     </t>
    </r>
    <r>
      <rPr>
        <sz val="12"/>
        <color theme="1"/>
        <rFont val="Calibri"/>
        <family val="2"/>
      </rPr>
      <t xml:space="preserve"> -DUC central/ styr-och reglerutrustning för fjärrvärme  (från ca 20 000 kr)</t>
    </r>
  </si>
  <si>
    <t xml:space="preserve">Byte av styr-och reglerenhet, kretskort, för fjärrvärme. Livslängd styr och regler utrustning ca 12-15 år. </t>
  </si>
  <si>
    <r>
      <rPr>
        <b/>
        <sz val="12"/>
        <color theme="1"/>
        <rFont val="Calibri"/>
        <family val="2"/>
      </rPr>
      <t xml:space="preserve">Byte:                                                                  </t>
    </r>
    <r>
      <rPr>
        <sz val="12"/>
        <color theme="1"/>
        <rFont val="Calibri"/>
        <family val="2"/>
      </rPr>
      <t xml:space="preserve"> Pump</t>
    </r>
    <r>
      <rPr>
        <b/>
        <sz val="12"/>
        <color theme="1"/>
        <rFont val="Calibri"/>
        <family val="2"/>
      </rPr>
      <t xml:space="preserve"> </t>
    </r>
    <r>
      <rPr>
        <sz val="12"/>
        <color theme="1"/>
        <rFont val="Calibri"/>
        <family val="2"/>
      </rPr>
      <t>värme radiatorer</t>
    </r>
  </si>
  <si>
    <t>Byte av pump för värme till radiatorer, Livslängd ca 15 år</t>
  </si>
  <si>
    <r>
      <rPr>
        <b/>
        <sz val="12"/>
        <color theme="1"/>
        <rFont val="Calibri"/>
        <family val="2"/>
      </rPr>
      <t xml:space="preserve">Byte:                                                                    </t>
    </r>
    <r>
      <rPr>
        <sz val="12"/>
        <color theme="1"/>
        <rFont val="Calibri"/>
        <family val="2"/>
      </rPr>
      <t>Ställdon värme radiatorer</t>
    </r>
  </si>
  <si>
    <t>Byte av ställdon värme till radiatorer, Livslängd 15 år</t>
  </si>
  <si>
    <r>
      <rPr>
        <b/>
        <sz val="12"/>
        <color theme="1"/>
        <rFont val="Calibri"/>
        <family val="2"/>
      </rPr>
      <t xml:space="preserve">Byte av:                                                      </t>
    </r>
    <r>
      <rPr>
        <sz val="12"/>
        <color theme="1"/>
        <rFont val="Calibri"/>
        <family val="2"/>
      </rPr>
      <t xml:space="preserve"> -Cirkulationspump värme  och ventiler                                                  </t>
    </r>
  </si>
  <si>
    <t>Livslängd Cirkulationspumpar  värme och vatten 15-18 år</t>
  </si>
  <si>
    <r>
      <rPr>
        <b/>
        <sz val="12"/>
        <color theme="1"/>
        <rFont val="Calibri"/>
        <family val="2"/>
      </rPr>
      <t xml:space="preserve">Byte av:                                                                  </t>
    </r>
    <r>
      <rPr>
        <sz val="12"/>
        <color theme="1"/>
        <rFont val="Calibri"/>
        <family val="2"/>
      </rPr>
      <t xml:space="preserve">  Värmeväxlare- Varmvatten (ca 70 000 kr)</t>
    </r>
  </si>
  <si>
    <r>
      <rPr>
        <sz val="12"/>
        <color theme="1"/>
        <rFont val="Calibri"/>
        <family val="2"/>
      </rPr>
      <t xml:space="preserve">Byte av  värmeväxlare- varmvatten i fjärrvärmecentralen. Livslängd ca 20-25 år. Alternativet är investering i helt ny fjärrvärmecentral, se </t>
    </r>
    <r>
      <rPr>
        <i/>
        <sz val="12"/>
        <color theme="1"/>
        <rFont val="Calibri"/>
        <family val="2"/>
      </rPr>
      <t>AFF- kod SC4.62</t>
    </r>
  </si>
  <si>
    <r>
      <rPr>
        <b/>
        <sz val="12"/>
        <color theme="1"/>
        <rFont val="Calibri"/>
        <family val="2"/>
      </rPr>
      <t xml:space="preserve">Byte:                                                                    </t>
    </r>
    <r>
      <rPr>
        <sz val="12"/>
        <color theme="1"/>
        <rFont val="Calibri"/>
        <family val="2"/>
      </rPr>
      <t>Ställdon värme radiatorer</t>
    </r>
  </si>
  <si>
    <t>OBS! Denna kostnadspost är ej aktiverad pga. enskilda enheter byts ut under samma årtal. Man väljer att antingen byta ut enheter eller byta hela anläggningen. Kontakta er K&amp;B Förvaltning eller ansvarig drift person för mer detaljer kring detta.</t>
  </si>
  <si>
    <r>
      <rPr>
        <b/>
        <sz val="12"/>
        <color rgb="FFFF0000"/>
        <rFont val="Calibri"/>
        <family val="2"/>
      </rPr>
      <t xml:space="preserve">Byte av:                                                             </t>
    </r>
    <r>
      <rPr>
        <sz val="12"/>
        <color rgb="FFFF0000"/>
        <rFont val="Calibri"/>
        <family val="2"/>
      </rPr>
      <t xml:space="preserve">     -Ny Fjärrvärmecentral (ca 300 000 kr tot.)                               -Värmeväxlarenhet för värme och varmvatten.
 -  Reglerutrustning, reglerdon, givare, ventiler, ställdon,m.m.                                                       -Radiatorcirkulationspump                                      -Expansionskärl                              -Varmvattentemperaturreglering
 -Justering av värmesystemet.                                 </t>
    </r>
  </si>
  <si>
    <t>Ny Fjärrvärmecentral, Demontering,  bortforsling och skrotning av befintlig fjärrvärmeanläggning. Installation av ny fjärrvärmeanläggning och tillhörande enheter/ utrustning, expansionskärl m.m. Anslutning av fjärrvärmecentralen till fjärrvärmenätet. Anslutning av fjärrvärmecentralen till befintliga rör-och elinstallationer i fastigheten. Drifttagning och slutbesiktning av anläggningen. Livslängd  komplett Fjärrvärmecentral , 20-25 år.</t>
  </si>
  <si>
    <r>
      <rPr>
        <b/>
        <sz val="12"/>
        <color theme="1"/>
        <rFont val="Calibri"/>
        <family val="2"/>
      </rPr>
      <t xml:space="preserve">Byte av:                                                      </t>
    </r>
    <r>
      <rPr>
        <sz val="12"/>
        <color theme="1"/>
        <rFont val="Calibri"/>
        <family val="2"/>
      </rPr>
      <t xml:space="preserve"> -Cirkulationspump värme  och ventiler                                                  </t>
    </r>
  </si>
  <si>
    <t>Livslängd Cirkulationspumpar  värme och vatten 10-15 år</t>
  </si>
  <si>
    <r>
      <rPr>
        <b/>
        <sz val="12"/>
        <color theme="1"/>
        <rFont val="Calibri"/>
        <family val="2"/>
      </rPr>
      <t xml:space="preserve">Byte:                                                                  </t>
    </r>
    <r>
      <rPr>
        <sz val="12"/>
        <color theme="1"/>
        <rFont val="Calibri"/>
        <family val="2"/>
      </rPr>
      <t xml:space="preserve"> Pump</t>
    </r>
    <r>
      <rPr>
        <b/>
        <sz val="12"/>
        <color theme="1"/>
        <rFont val="Calibri"/>
        <family val="2"/>
      </rPr>
      <t xml:space="preserve"> </t>
    </r>
    <r>
      <rPr>
        <sz val="12"/>
        <color theme="1"/>
        <rFont val="Calibri"/>
        <family val="2"/>
      </rPr>
      <t>värme radiatorer</t>
    </r>
  </si>
  <si>
    <r>
      <rPr>
        <b/>
        <sz val="12"/>
        <color theme="1"/>
        <rFont val="Calibri"/>
        <family val="2"/>
      </rPr>
      <t xml:space="preserve">Byte av:                                                     </t>
    </r>
    <r>
      <rPr>
        <sz val="12"/>
        <color theme="1"/>
        <rFont val="Calibri"/>
        <family val="2"/>
      </rPr>
      <t xml:space="preserve"> -DUC central/ styr-och reglerutrustning för värme (från ca 20 000 kr)</t>
    </r>
  </si>
  <si>
    <t xml:space="preserve">Livslängd styr och regler utrustning ca 12-15 år. </t>
  </si>
  <si>
    <r>
      <rPr>
        <b/>
        <sz val="12"/>
        <color theme="1"/>
        <rFont val="Calibri"/>
        <family val="2"/>
      </rPr>
      <t xml:space="preserve">Byte av:                                                      </t>
    </r>
    <r>
      <rPr>
        <sz val="12"/>
        <color theme="1"/>
        <rFont val="Calibri"/>
        <family val="2"/>
      </rPr>
      <t xml:space="preserve"> -Cirkulationspump värme  och ventiler                                                  </t>
    </r>
  </si>
  <si>
    <t>SC4.63</t>
  </si>
  <si>
    <t>Värmedistributions-installationer</t>
  </si>
  <si>
    <t>2017- Nya termostater installerades i alla lgh och allmänna utrymmen</t>
  </si>
  <si>
    <r>
      <rPr>
        <b/>
        <sz val="12"/>
        <color theme="1"/>
        <rFont val="Calibri"/>
        <family val="2"/>
      </rPr>
      <t xml:space="preserve">Byte:                                                                              </t>
    </r>
    <r>
      <rPr>
        <sz val="12"/>
        <color theme="1"/>
        <rFont val="Calibri"/>
        <family val="2"/>
      </rPr>
      <t>Stamreglerventiler</t>
    </r>
  </si>
  <si>
    <t>Byte stamreglerventiler på värmestammar. Livslängd ca 35 år.</t>
  </si>
  <si>
    <t>Värmedistributionsrör</t>
  </si>
  <si>
    <t>Isolering av värmedistributionsrör där det saknas/ är bristande.</t>
  </si>
  <si>
    <t>Översyn och vid behov komplettering med Isolering av värmedistributionsrör där det saknas/ är bristande i källarekorridorer, källarutrymmen.</t>
  </si>
  <si>
    <t>Löpande kontroller/ tillsyner</t>
  </si>
  <si>
    <t>Kontroll/genomgång av fjärrvärmerör/ distributionsrör/värmestammen till radiatorer/element ut till fastigheten och lägenheterna. Byte av trasiga/läckande element sker löpande. Livslängd för värmeledningar ca 40-50 år.</t>
  </si>
  <si>
    <r>
      <rPr>
        <b/>
        <sz val="12"/>
        <color theme="1"/>
        <rFont val="Calibri"/>
        <family val="2"/>
      </rPr>
      <t xml:space="preserve">Byte:                                                                        </t>
    </r>
    <r>
      <rPr>
        <sz val="12"/>
        <color theme="1"/>
        <rFont val="Calibri"/>
        <family val="2"/>
      </rPr>
      <t xml:space="preserve">   Termostatventiler</t>
    </r>
  </si>
  <si>
    <t>Byte av termostatventiler till lägenheter och trapphus, allmänna utrymmen, källare, driftrum, m.m. Uppskattat antal för lägenheter 5 st. per lägenhet, allmänna utrymmen 15 st. per trappuppgång med källare och övriga utrymmen . Pris arbete inkl. material och injusteringar. Livslängd 25-30 år.</t>
  </si>
  <si>
    <t>OBS! Underhållsposten är ej aktiverad. För mer detaljer kontakta K&amp;B Förvaltning eller er kontaktperson för värme och drift</t>
  </si>
  <si>
    <r>
      <rPr>
        <b/>
        <sz val="12"/>
        <color theme="1"/>
        <rFont val="Calibri"/>
        <family val="2"/>
      </rPr>
      <t xml:space="preserve">Byte:                                                                             </t>
    </r>
    <r>
      <rPr>
        <sz val="12"/>
        <color theme="1"/>
        <rFont val="Calibri"/>
        <family val="2"/>
      </rPr>
      <t>Värmestammar/ distributionsrör värme och radiatorer</t>
    </r>
  </si>
  <si>
    <t>Byte till nya värmestammar/ distributionsrör och radiatorer. Uppskattat pris 25 000 kr per lägenhet/ lokal och nya ditrubutionsrör runt om i fastigheten, källare, schakt, trapphusen in till lägenheterna.  Arbete inkl. demontering av befintliga ledningar, montering av nya, altn. montering av utompåliggande värmerör och nya håltagningar i trapphus och in i alla rum i lägenheterna. Livslängd 50-80 år.</t>
  </si>
  <si>
    <t>SC4.7</t>
  </si>
  <si>
    <t>Luftbehandlingssystem</t>
  </si>
  <si>
    <t>SC4.71</t>
  </si>
  <si>
    <t>Frånluftssystem</t>
  </si>
  <si>
    <t>1988- Mekanisk frånluft installerades</t>
  </si>
  <si>
    <t>Periodisk service</t>
  </si>
  <si>
    <t>Kontroller och åtgärder utförs på takhuvar och fläktar vid periodisk service:                                                                                    1. Okulärbesiktning, ut- och invändigt.
2. Kontrollera att intags- och utloppsarea är fri för luften
att passera.
3.  Kontrollera så att inga detaljer lossnat.
4.  Kontrollera så att backspjäll stänger vid uteblivet luftfl öde.
5. Kontrollera så att inget vattenläckage förekommer
6.  Rengör takhuven ifall behov föreligger                                                                          7.Motor, lager, flödesinställningar samt övriga delar ses över.</t>
  </si>
  <si>
    <t xml:space="preserve">Byte av frånluftsfläkt </t>
  </si>
  <si>
    <t>Byte av fläktar. Livslängd ca 15-20 år.</t>
  </si>
  <si>
    <t>SC4.72</t>
  </si>
  <si>
    <t>Luftdistributions-installationer</t>
  </si>
  <si>
    <t>2017 - OVK utförd, godkänd</t>
  </si>
  <si>
    <t>OVK Besiktning + ev. injustering.</t>
  </si>
  <si>
    <t>1.OVK-( obligatorisk ventilations kontroll) Besiktning. Görs i 6-års intervaller för mekanisk frånluft . Ca pris 1000 kr /lgh/lokal. 2. Rensning av kanaler kan tillkomma, löpande h/pris (vid mycket smuts och långt in i kanalerna) eller ingå i pris. 3.Injustering av ventilationsdon utförs vid behov i samband med OVK.</t>
  </si>
  <si>
    <t>SC4.73</t>
  </si>
  <si>
    <t>Luftdon, skyddsgaller och skyddsnät</t>
  </si>
  <si>
    <t>OVK Besiktning, filterrensning</t>
  </si>
  <si>
    <t>kan ingå i OVK</t>
  </si>
  <si>
    <t>Löpande h/pris för rensning av kanaler kan tillkomma (vid mycket smuts och långt in i kanalerna) eller vid mindre rensning ingå i OVK-priset.</t>
  </si>
  <si>
    <t>SC4.74</t>
  </si>
  <si>
    <t>Radon</t>
  </si>
  <si>
    <t>2019- Radonmätning utförd i lgh och fastigheten</t>
  </si>
  <si>
    <t>Utföra radonmätning var 10:e år enl. miljötillsynen.</t>
  </si>
  <si>
    <t>Utföra ny mätning, 2 st. radon puckar per lägenhet och lokal. Miljötillsyn kan kräva detta var 10:e år.</t>
  </si>
  <si>
    <t>SC5</t>
  </si>
  <si>
    <t>Elsystem</t>
  </si>
  <si>
    <t>SC5.1</t>
  </si>
  <si>
    <t>System för eldistribution</t>
  </si>
  <si>
    <t>SC5.12</t>
  </si>
  <si>
    <t>Lågspänningssystem för eldistribution</t>
  </si>
  <si>
    <t>2018- Diverse elarbeten i källaren                           2012-- nya kontakter för el i trappuppgångar installerade                                                  1988- Renovering/ bytta: Elledningar, el stammar, fastighetscentraler, elstigare, kablage, kopplingar, övrig el installation</t>
  </si>
  <si>
    <t>Byte och uppdatering till nya huvudsäkringar och elboxar till fastigheten</t>
  </si>
  <si>
    <t>st.</t>
  </si>
  <si>
    <t>Byte och uppdatering till nya el-boxar med huvudsäkringar till båda fastigheterna, alla trapphus och tillhörande gemensamma utrymmen och yttre miljö. Livslängd El-centraler, kablage, huvudsäkringar, installationer och ledningar ca 45-50 år år.</t>
  </si>
  <si>
    <r>
      <rPr>
        <b/>
        <sz val="12"/>
        <color theme="1"/>
        <rFont val="Calibri"/>
        <family val="2"/>
      </rPr>
      <t xml:space="preserve">Byte:                                                                         </t>
    </r>
    <r>
      <rPr>
        <sz val="12"/>
        <color theme="1"/>
        <rFont val="Calibri"/>
        <family val="2"/>
      </rPr>
      <t xml:space="preserve"> Ny fastihetscentral och el-servicecentral</t>
    </r>
  </si>
  <si>
    <t xml:space="preserve">Byte till ny fastighetscentral ca 50 000 kr Byte ny fastighetscentral till tvättstuga 30 000 kr. Byte till ny el-servicecentral, inkommande el. ca 30 000 kr. Byte och uppdatering till nya el-boxar med huvudsäkringar till fastigheten och tillhörande gemensamma utrymmen. Livslängd El-centraler och ledningar ca 50-60 år. Pris för alla husen. </t>
  </si>
  <si>
    <r>
      <rPr>
        <b/>
        <sz val="12"/>
        <color theme="1"/>
        <rFont val="Calibri"/>
        <family val="2"/>
      </rPr>
      <t xml:space="preserve">Byte:                                                                 </t>
    </r>
    <r>
      <rPr>
        <sz val="12"/>
        <color theme="1"/>
        <rFont val="Calibri"/>
        <family val="2"/>
      </rPr>
      <t xml:space="preserve">        till nya el-ledningar, el-stigare</t>
    </r>
  </si>
  <si>
    <t xml:space="preserve">Byte till nya el-ledningar, el-stigare (upp till lgh), installationer och övrig el runt om i fastighetens allmänna utrymmen. Nya el-ledningar, installationer och övrig el i lägenheterna är ej medräknade.  Livslängd El-centraler och ledningar ca 50-60 år. </t>
  </si>
  <si>
    <t>SC5.2</t>
  </si>
  <si>
    <t>Belysningssystem</t>
  </si>
  <si>
    <t>2018- Nya ljuskällor och armaturer</t>
  </si>
  <si>
    <t>Trapphus, gemensamma utrymmen , entréer, förråd, undercentral, el-utrymme, källarkorridorer: Byte El-installationer till armaturer, Led med sensor.</t>
  </si>
  <si>
    <t>Byte av el-installationer, armaturer och ljuskällor till Led med sensor, ca pris 1120-2500 kr/st. Inkl. Montage. Trasiga lampor och armaturer byts ut löpande vid behov under åren. Arbetskostnad inkl. material för trapphus, allmänna utrymmen och yttre miljö. Endast grovt uppskattat pris. Livslängd ca 20 år</t>
  </si>
  <si>
    <t>Nya ljuskällor och armaturer</t>
  </si>
  <si>
    <t>Kontroll av rostangrepp, trasiga delar och funktion</t>
  </si>
  <si>
    <r>
      <rPr>
        <sz val="12"/>
        <color theme="1"/>
        <rFont val="Calibri"/>
        <family val="2"/>
      </rPr>
      <t xml:space="preserve">För belysningsstolpar utomhus och ljuskällor inne i teknikrum, soprum. Kontroll av rostabgrepp, trasiga delar, skymmningsrelä och övrig funktion.                                                                                                                             </t>
    </r>
    <r>
      <rPr>
        <b/>
        <sz val="12"/>
        <color theme="1"/>
        <rFont val="Calibri"/>
        <family val="2"/>
      </rPr>
      <t>Åtgärder vid tillsyn :</t>
    </r>
    <r>
      <rPr>
        <sz val="12"/>
        <color theme="1"/>
        <rFont val="Calibri"/>
        <family val="2"/>
      </rPr>
      <t xml:space="preserve">
1. Byte av samtliga släckta lampor
2. Byte av defekta armaturer och kupor
3. Omklamring av lyktledningar på bärlinor
4. Fastsättning av servis- och tillsatslådor som har lossnar på grund av andra orsaker än åverkan eller trafikskada
5. Rengöring av kupor och armaturer i samband med lampbyten
6. Riktning av stolpar som kan utgöra trafikfara</t>
    </r>
  </si>
  <si>
    <t>Byte ljuskällor, seriebyte till belysningsstolpar</t>
  </si>
  <si>
    <t>Byte ljuskällor, seriebyte till belysningsstolpar:  El-stolpar ca 4 m 7 st. El-stolpar ca 1 m 5 st. Byte/ kontroll av överlagringständare. Material och arbete 1000 kr per st. Årsintervall ca 4 år.</t>
  </si>
  <si>
    <t>SC5.61</t>
  </si>
  <si>
    <t>Åskskyddssystem</t>
  </si>
  <si>
    <t>SC5.7</t>
  </si>
  <si>
    <t>Övriga elkraftsystem</t>
  </si>
  <si>
    <t>SC6</t>
  </si>
  <si>
    <t>Tele- och datasystem</t>
  </si>
  <si>
    <t>SC6.1</t>
  </si>
  <si>
    <t>Telesignalsystem</t>
  </si>
  <si>
    <t>SC6.2</t>
  </si>
  <si>
    <t>Tele- och datakommunikationssystem</t>
  </si>
  <si>
    <t>SC6.21</t>
  </si>
  <si>
    <t>Telefonsystem</t>
  </si>
  <si>
    <t>SC6.22</t>
  </si>
  <si>
    <t>System för ljud- och bildöverföring</t>
  </si>
  <si>
    <t>Underhålls av leverantören. Felanmälan utförs till leverantören.</t>
  </si>
  <si>
    <t>SC6.23</t>
  </si>
  <si>
    <t xml:space="preserve">Datakommunikationssystem  </t>
  </si>
  <si>
    <t>SC6.8</t>
  </si>
  <si>
    <t>Övriga teletekniska system</t>
  </si>
  <si>
    <t>SC8</t>
  </si>
  <si>
    <t>Övriga tekniska installationer</t>
  </si>
  <si>
    <t>SC8.1</t>
  </si>
  <si>
    <t>Anläggningar för avfallshantering</t>
  </si>
  <si>
    <t>SD 1</t>
  </si>
  <si>
    <t>Utemiljö</t>
  </si>
  <si>
    <t>SD 2</t>
  </si>
  <si>
    <t>Vegetationsytor</t>
  </si>
  <si>
    <t xml:space="preserve">   </t>
  </si>
  <si>
    <t>SD 2.1</t>
  </si>
  <si>
    <t>Gräsytor</t>
  </si>
  <si>
    <t>Klippning och trimmning</t>
  </si>
  <si>
    <t>Ingår i löpande fastighetsskötseln.</t>
  </si>
  <si>
    <t>SD 2.2</t>
  </si>
  <si>
    <t>Träd</t>
  </si>
  <si>
    <t>Ev. nedtagning av skymmande träd och rötna/döda träd.</t>
  </si>
  <si>
    <t xml:space="preserve">Arbetstid och bortforsling utförs årligen vid behov.                       Oförutsedda arbeten utöver löpande fastighetsskötseln.  </t>
  </si>
  <si>
    <t>SD 2.3</t>
  </si>
  <si>
    <t>Planteringsytor</t>
  </si>
  <si>
    <t>Underhåll av planteringar och växterna.</t>
  </si>
  <si>
    <r>
      <rPr>
        <b/>
        <sz val="12"/>
        <color theme="1"/>
        <rFont val="Calibri"/>
        <family val="2"/>
      </rPr>
      <t>1</t>
    </r>
    <r>
      <rPr>
        <sz val="12"/>
        <color theme="1"/>
        <rFont val="Calibri"/>
        <family val="2"/>
      </rPr>
      <t xml:space="preserve">. Beskärning och rensning av vildvuxna buskar. Ogräsbekämpning. Ev. plantering av nya buskar och blommor m.m. Tillkommande arbeten utöver löpande fastighetsskötseln. </t>
    </r>
    <r>
      <rPr>
        <b/>
        <sz val="12"/>
        <color theme="1"/>
        <rFont val="Calibri"/>
        <family val="2"/>
      </rPr>
      <t xml:space="preserve">2. </t>
    </r>
    <r>
      <rPr>
        <sz val="12"/>
        <color theme="1"/>
        <rFont val="Calibri"/>
        <family val="2"/>
      </rPr>
      <t xml:space="preserve">Underhåll/ lagning / byten av planteringskärlen. Byte vid behov. </t>
    </r>
  </si>
  <si>
    <t>SD 3</t>
  </si>
  <si>
    <t>Markbeläggningar</t>
  </si>
  <si>
    <t>SD 3.1</t>
  </si>
  <si>
    <t>Ytor av sten, tegel, betongplattor och asfalt</t>
  </si>
  <si>
    <t>Underhåll/lagning markytor</t>
  </si>
  <si>
    <t>Asfalt, stenplattor-och övrig markbeläggning. Oförutsedda skador/ krackeleringar i asfalt, trasiga stenplattor, sprickor etc. Oförutsedda skador, utförs vid behov.</t>
  </si>
  <si>
    <t>SD 4</t>
  </si>
  <si>
    <t>Utrustning i utemiljö</t>
  </si>
  <si>
    <t>SD 4.1</t>
  </si>
  <si>
    <t>Inhägnader och inpasseringsanordningar</t>
  </si>
  <si>
    <t>Ommålning/ lasering/oljning och underhåll av trästaket på lekplats, trätrappor och trappstaket i yttre miljö</t>
  </si>
  <si>
    <t>Staket av trä,  räckesstolpar, trappsteg, trappor av träkonstruktion i yttre miljö: underhåll, ommålning/lasering/ oljning årligen och vid behov. Vid behov. byte av trasiga och fuktskadade träpaneler, fästen, stolpar etc görs vid behov. Arbete inkl. materialkostnader.</t>
  </si>
  <si>
    <t>Byte av trästaket på lekplats. Byte av trappor av träkonstruktion i yttre miljö</t>
  </si>
  <si>
    <t>Byte av trä-staket och uppbyggnad av nytt staket til lekplats. Byte trappor av träkonstruktion i yttre miljö 1. Bortrivning, bortforsling och deponering av befintliga trä-staket, räckesstolpar, markfästen m.m. och övrigt material. 2. Uppbyggnad av nytt staket och trappor i trä med alla tillhörande delar. Arbete från marken. Livslängd varierande. Materialkostnad och arbetskostnad uppskattat pris.</t>
  </si>
  <si>
    <t>SD 4.2</t>
  </si>
  <si>
    <t>Planteringskärl</t>
  </si>
  <si>
    <t>Kostnad för underhållet finns i samma post som AFF-kod SD 2.3</t>
  </si>
  <si>
    <t>Underhåll av planteringskärl i träkonstruktion</t>
  </si>
  <si>
    <r>
      <rPr>
        <sz val="12"/>
        <color theme="1"/>
        <rFont val="Calibri"/>
        <family val="2"/>
      </rPr>
      <t xml:space="preserve">Översyn och underhåll av planteringskärl i träkonstruktion. Lagning av trasiga delar altn. byte till nya planteringskärl. Utförs efter behov. Kostnad för underhållet finns i samma post som </t>
    </r>
    <r>
      <rPr>
        <i/>
        <sz val="12"/>
        <color theme="1"/>
        <rFont val="Calibri"/>
        <family val="2"/>
      </rPr>
      <t>AFF-kod SD 2.3</t>
    </r>
  </si>
  <si>
    <t>SD 4.3</t>
  </si>
  <si>
    <t>Belysningstolpar</t>
  </si>
  <si>
    <t>Byte av belysningsstolpar, ca 4 m och ca 1 m inkl armaturer</t>
  </si>
  <si>
    <t>Byte av befintliga belysningsstolpar ca 4 m 7 st. El-stolpar ca 1 m 5 st inkl. armatur och ljuskälla. Demontering av befintliga och montering av nya. Deponering av gamla. Material och arbete ca 12 000 kr per st.</t>
  </si>
  <si>
    <t>SD 4.5</t>
  </si>
  <si>
    <t>Utrustning för bilparkeringsplatser och cykelparkering  i utemiljö.</t>
  </si>
  <si>
    <t>SD 4.51</t>
  </si>
  <si>
    <t>Garage</t>
  </si>
  <si>
    <t>SD 4.52</t>
  </si>
  <si>
    <t>Parkeringsplatser</t>
  </si>
  <si>
    <r>
      <rPr>
        <sz val="12"/>
        <color theme="1"/>
        <rFont val="Calibri"/>
        <family val="2"/>
      </rPr>
      <t xml:space="preserve">Underhållskostnader se </t>
    </r>
    <r>
      <rPr>
        <i/>
        <sz val="12"/>
        <color theme="1"/>
        <rFont val="Calibri"/>
        <family val="2"/>
      </rPr>
      <t>AFF-kod SD 3.1</t>
    </r>
  </si>
  <si>
    <t>Underhåll av grusmark.</t>
  </si>
  <si>
    <t xml:space="preserve">Utförs vid behov: Komplettering av grus, borttagning av ogräs, större stenar, se till att hålla ytan jämn och fylla igen potthål eller andra krackeleringar i grusytorna.                                  Underhållskostnader se AFF-kod SD 3.1       </t>
  </si>
  <si>
    <t>SD 4.6</t>
  </si>
  <si>
    <t>Utrustning och utrymmen för avfallshantering</t>
  </si>
  <si>
    <r>
      <rPr>
        <b/>
        <sz val="12"/>
        <color theme="1"/>
        <rFont val="Calibri"/>
        <family val="2"/>
      </rPr>
      <t xml:space="preserve"> 1</t>
    </r>
    <r>
      <rPr>
        <sz val="12"/>
        <color theme="1"/>
        <rFont val="Calibri"/>
        <family val="2"/>
      </rPr>
      <t xml:space="preserve">. Städning/sköljning av samtliga avfallskärl 2ggr/år. </t>
    </r>
    <r>
      <rPr>
        <b/>
        <sz val="12"/>
        <color theme="1"/>
        <rFont val="Calibri"/>
        <family val="2"/>
      </rPr>
      <t>2.</t>
    </r>
    <r>
      <rPr>
        <sz val="12"/>
        <color theme="1"/>
        <rFont val="Calibri"/>
        <family val="2"/>
      </rPr>
      <t xml:space="preserve"> Högtrycksspolning av marken.</t>
    </r>
  </si>
  <si>
    <t xml:space="preserve">Städning /sköljning av samtliga avfallskärl. Högtrycksspolning av marken. Kan utföras av entreprenör för sanering och grovstäd. Motverkar lukt och skadedjur. Rekommenderas att utföra 2 ggr/ år. </t>
  </si>
  <si>
    <t>SD 4.7</t>
  </si>
  <si>
    <t>Uteplatser, Möbler, etc.</t>
  </si>
  <si>
    <t>Underhåll genom skrapning, ommålning ev. lasering.</t>
  </si>
  <si>
    <t>Skrapning/ Oljning/ Ommålning/ lasering  av befintliga utemöbler  (bord och bänkar i trä och stål).</t>
  </si>
  <si>
    <t>Inköp nya picknickbord.</t>
  </si>
  <si>
    <t>Inköp av 1 st nya picnicbord med sittbänkar. Bortforsling och deponering av befintliga.</t>
  </si>
  <si>
    <t>SD 4.8</t>
  </si>
  <si>
    <t>Gemensam utegård</t>
  </si>
  <si>
    <t>SD 5</t>
  </si>
  <si>
    <t>Lek- och idrott</t>
  </si>
  <si>
    <t>Besiktning och underhåll/ påfyllning av sand.</t>
  </si>
  <si>
    <t xml:space="preserve">1. Översyn av  fallsand i sandlåda, påfyllning/ byte vid behov.           </t>
  </si>
  <si>
    <t>Besiktning och underhåll av lekplatser.</t>
  </si>
  <si>
    <t>Lekplatsbesiktning är obligatorisk varje år. Ev. underhåll och krav om ombyggnationer vid lagförändringar av lekutrustning.</t>
  </si>
  <si>
    <r>
      <rPr>
        <sz val="13"/>
        <color theme="1"/>
        <rFont val="Calibri"/>
        <family val="2"/>
      </rPr>
      <t xml:space="preserve">Alternativ : Inköp av ny lekställning, gungställning. För exempel se </t>
    </r>
    <r>
      <rPr>
        <u/>
        <sz val="13"/>
        <color rgb="FF1155CC"/>
        <rFont val="Calibri"/>
        <family val="2"/>
      </rPr>
      <t>https://www.uteprodukter.se/lekplats-och-lekmiljo/gungor/tragunga</t>
    </r>
    <r>
      <rPr>
        <sz val="13"/>
        <color theme="1"/>
        <rFont val="Calibri"/>
        <family val="2"/>
      </rPr>
      <t xml:space="preserve"> </t>
    </r>
  </si>
  <si>
    <t xml:space="preserve">
Inköp av lekställning, gungställning. Uppgrävning,demontering av befintlig lekställning, deponering samt uppbyggnad och nedgrävning av ny ca 16/h totalt. Riktpris montage lekprodukter  688 kr/h. Pris  endast lekställning från 3500- 10 000 kr inkl. moms. Skall monteras på ett stötdämpande underlag enligt EN 1176.
Övriga produkter att ersätta befintlig gungställning med : Lekställning utrustad med rutschbana, klätterställning, klätternät och en klättervägg . ca pris 65000 kr exkl. moms</t>
  </si>
  <si>
    <t>SD 6</t>
  </si>
  <si>
    <t>Vattenanläggningar</t>
  </si>
  <si>
    <t>SD 6.2</t>
  </si>
  <si>
    <t>Övrigt vattenanläggningar</t>
  </si>
  <si>
    <t>SD 6.21</t>
  </si>
  <si>
    <t>Brunnar i dag- och dränvattenanläggning</t>
  </si>
  <si>
    <t>Rensas vid fastighetsronderingar och vid behov.</t>
  </si>
  <si>
    <r>
      <rPr>
        <sz val="12"/>
        <color theme="1"/>
        <rFont val="Calibri"/>
        <family val="2"/>
      </rPr>
      <t xml:space="preserve">Rekommenderas att spola brunnarna och rören enl. intevallerna 5-10 år. </t>
    </r>
    <r>
      <rPr>
        <b/>
        <sz val="12"/>
        <color theme="1"/>
        <rFont val="Calibri"/>
        <family val="2"/>
      </rPr>
      <t>Se AFF kod SC4.13</t>
    </r>
  </si>
  <si>
    <t>SD 6.22</t>
  </si>
  <si>
    <t>Bevattning</t>
  </si>
  <si>
    <t>Löpande fastighetsskötsel</t>
  </si>
  <si>
    <t>SG1</t>
  </si>
  <si>
    <t>Brandskyddsarbete</t>
  </si>
  <si>
    <t>SG1.2</t>
  </si>
  <si>
    <t>Brandtekniska installationer</t>
  </si>
  <si>
    <t xml:space="preserve">Brandskyddskontroll enl. LSO </t>
  </si>
  <si>
    <r>
      <rPr>
        <b/>
        <sz val="12"/>
        <color theme="1"/>
        <rFont val="Calibri"/>
        <family val="2"/>
      </rPr>
      <t xml:space="preserve">1. Enl. Lagen om skydd mot olyckor (LSO) </t>
    </r>
    <r>
      <rPr>
        <sz val="12"/>
        <color theme="1"/>
        <rFont val="Calibri"/>
        <family val="2"/>
      </rPr>
      <t xml:space="preserve">skall brandskyddskontroll av hela eldningsanläggningen, från pannrumsdörren till skorstenskronans genomföras och hållas separerad från den regelbundna rengöringen, sotningen, ur brandskyddssynpunkt. Årsintervaller regleras av Myndigheten för Samhällsskydd och Beredskap (MSB), se www.msb.se.  Angivna utgiften är en uppskattning- priset för brandskyddskontrollen baseras på en taxa som din kommun har bestämt.                </t>
    </r>
  </si>
  <si>
    <t>Brandskyddstillsyn och SBA</t>
  </si>
  <si>
    <r>
      <rPr>
        <sz val="12"/>
        <color theme="1"/>
        <rFont val="Calibri"/>
        <family val="2"/>
      </rPr>
      <t xml:space="preserve">Brandskyddstillsyn och obligatorisk </t>
    </r>
    <r>
      <rPr>
        <i/>
        <sz val="12"/>
        <color theme="1"/>
        <rFont val="Calibri"/>
        <family val="2"/>
      </rPr>
      <t xml:space="preserve">SBA (Systematiskt brandskydds arbete </t>
    </r>
    <r>
      <rPr>
        <sz val="12"/>
        <color theme="1"/>
        <rFont val="Calibri"/>
        <family val="2"/>
      </rPr>
      <t>= LAGKRAV) för fastighet och lokaler, se www.brandsakra.se/erbjudande. Utgångna eller avsaknad av brandsläckare skall bytas ut i de allmänna utrymmena (trapphus,källare,vind etc). Föreningen bör även köpa in och dela ut brandfiltar och brandsläckare till alla lägenheter. Lokalhyresgäster har eget ansvar över brand utrustning och SBA dokumentation men ansvar ligger på fastighetsägare att de följer upp/genomför detta årligen.  Se medföljande SBA PDF underlag för egenkontroller och checklistor.</t>
    </r>
  </si>
  <si>
    <t>Inköp av brandsläckare och  brandvarnare i trapphus och allmänna utrymmen,  enl. SBA.</t>
  </si>
  <si>
    <t>Vid besiktningen  är det oklart om brandsläckare och Brandvarnare fanns i alla allmänna utrymmen. Där det saknas bör det införskaffas och även köpas in och delas ut brandfiltar och brandsläckare till alla lägenheter.  Inköp av 30 st. brandsläckare till lägenheterna, ca 30 st. släckare till de allmänna utrymmena (trapphus, källargångar, vind, UC, övriga förrådsutrymmen etc), utplacerade vid utgångar/entréer. Brandfiltar och brandvarnare  kr inkl. pris. Ansvar ligger på fastighetsägare/ styrelse att SBA genomförs och dokumenteras årligen. Lokalhyresgäster bör bekosta egen brandutrustning och föreningen följer upp deras brandskyddsdokumentation.</t>
  </si>
  <si>
    <t>SG2</t>
  </si>
  <si>
    <t>Teknisk bevakning</t>
  </si>
  <si>
    <t>SG2.1</t>
  </si>
  <si>
    <t>Tillträdesskydd</t>
  </si>
  <si>
    <t>2019- Nytt låssystem med tags och kod i portentréerna</t>
  </si>
  <si>
    <t>Byte till nytt portsystem</t>
  </si>
  <si>
    <t>Byte till nytt uppdaterat portsystem med tag funktion och svarsfunktioner på mobiltelefon. Installation/ uppdatering av internet uppkoppling med switch i el-utrymme. Livslängd ca 15 år- 20 år</t>
  </si>
  <si>
    <t>Kostnader inkl. moms</t>
  </si>
  <si>
    <t>Kr/ kvm/år</t>
  </si>
  <si>
    <t>Underhållskostnad BOA genomsnitt på 30 år</t>
  </si>
  <si>
    <t>BOA</t>
  </si>
  <si>
    <t>Totala underhållskostnader, snittkostnad, per år under 30 år</t>
  </si>
  <si>
    <t xml:space="preserve">Totala underhållskostnader under 30 år </t>
  </si>
  <si>
    <t>Totalt Planerat underhåll 2022</t>
  </si>
  <si>
    <t>Totalt Planerat underhåll byte 2022</t>
  </si>
  <si>
    <t>Totalt Planerat underhåll 2023</t>
  </si>
  <si>
    <t>Totalt Planerat underhåll byte 2023</t>
  </si>
  <si>
    <t>Totalt Planerat underhåll 2024</t>
  </si>
  <si>
    <t>Totalt Planerat underhåll byte 2024</t>
  </si>
  <si>
    <t>Totalt Planerat underhåll 2025</t>
  </si>
  <si>
    <t>Totalt Planerat underhåll byte 2025</t>
  </si>
  <si>
    <t>Totalt Planerat underhåll 2026</t>
  </si>
  <si>
    <t>Totalt Planerat underhåll byte 2026</t>
  </si>
  <si>
    <t>Totalt Planerat underhåll 2027</t>
  </si>
  <si>
    <t>Totalt Planerat underhåll byte 2027</t>
  </si>
  <si>
    <t>Totalt Planerat underhåll 2028</t>
  </si>
  <si>
    <t>Totalt Planerat underhåll byte 2028</t>
  </si>
  <si>
    <t>Totalt Planerat underhåll 2029</t>
  </si>
  <si>
    <t>Totalt Planerat underhåll byte 2029</t>
  </si>
  <si>
    <t>Totalt Planerat underhåll 2030</t>
  </si>
  <si>
    <t>Totalt Planerat underhåll byte 2030</t>
  </si>
  <si>
    <t>Totalt Planerat underhåll 2031</t>
  </si>
  <si>
    <t>Totalt Planerat underhåll byte 2031</t>
  </si>
  <si>
    <t>Totalt Planerat underhåll 2032</t>
  </si>
  <si>
    <t>Totalt Planerat underhåll byte 2032</t>
  </si>
  <si>
    <t>Totalt Planerat underhåll 2033</t>
  </si>
  <si>
    <t>Totalt Planerat underhåll byte 2033</t>
  </si>
  <si>
    <t>Totalt Planerat underhåll 2034</t>
  </si>
  <si>
    <t>Totalt Planerat underhåll byte 2034</t>
  </si>
  <si>
    <t>Totalt Planerat underhåll 2035</t>
  </si>
  <si>
    <t>Totalt Planerat underhåll byte 2035</t>
  </si>
  <si>
    <t>Totalt Planerat underhåll 2036</t>
  </si>
  <si>
    <t>Totalt Planerat underhåll byte 2036</t>
  </si>
  <si>
    <t>Totalt Planerat underhåll 2037</t>
  </si>
  <si>
    <t>Totalt Planerat underhåll byte 2037</t>
  </si>
  <si>
    <t>Totalt Planerat underhåll 2038</t>
  </si>
  <si>
    <t>Totalt Planerat underhåll byte 2038</t>
  </si>
  <si>
    <t>Totalt Planerat underhåll 2039</t>
  </si>
  <si>
    <t>Totalt Planerat underhåll byte 2039</t>
  </si>
  <si>
    <t>Totalt Planerat underhåll 2040</t>
  </si>
  <si>
    <t>Totalt Planerat underhåll byte 2040</t>
  </si>
  <si>
    <t>Totalt Planerat underhåll 2041</t>
  </si>
  <si>
    <t>Totalt Planerat underhåll byte 2041</t>
  </si>
  <si>
    <t>Totalt Planerat underhåll 2042</t>
  </si>
  <si>
    <t>Totalt Planerat underhåll byte 2042</t>
  </si>
  <si>
    <t>Totalt Planerat underhåll 2043</t>
  </si>
  <si>
    <t>Totalt Planerat underhåll byte 2043</t>
  </si>
  <si>
    <t>Totalt Planerat underhåll 2044</t>
  </si>
  <si>
    <t>Totalt Planerat underhåll byte 2044</t>
  </si>
  <si>
    <t>Totalt Planerat underhåll 2045</t>
  </si>
  <si>
    <t>Totalt Planerat underhåll byte 2045</t>
  </si>
  <si>
    <t>Totalt Planerat underhåll 2046</t>
  </si>
  <si>
    <t>Totalt Planerat underhåll byte 2046</t>
  </si>
  <si>
    <t>Totalt Planerat underhåll 2047</t>
  </si>
  <si>
    <t>Totalt Planerat underhåll byte 2047</t>
  </si>
  <si>
    <t>Totalt Planerat underhåll 2048</t>
  </si>
  <si>
    <t>Totalt Planerat underhåll byte 2048</t>
  </si>
  <si>
    <t>Totalt Planerat underhåll 2049</t>
  </si>
  <si>
    <t>Totalt Planerat underhåll byte 2049</t>
  </si>
  <si>
    <t>Totalt Planerat underhåll 2050</t>
  </si>
  <si>
    <t>Totalt Planerat underhåll byte 2050</t>
  </si>
  <si>
    <t>Totalt Planerat underhåll 2051</t>
  </si>
  <si>
    <t>Totalt Planerat underhåll byte 2051</t>
  </si>
  <si>
    <t>Totalt Planerat underhåll 2052</t>
  </si>
  <si>
    <t>Totalt Planerat underhåll byte 2052</t>
  </si>
  <si>
    <t>Totalt Planerat underhåll 2053</t>
  </si>
  <si>
    <t>Totalt Planerat underhåll byte 2053</t>
  </si>
  <si>
    <t>Totalt Planerat underhåll 2054</t>
  </si>
  <si>
    <t>Totalt Planerat underhåll byte   2054</t>
  </si>
  <si>
    <t>Totalt Planerat underhåll 2055</t>
  </si>
  <si>
    <t>Totalt Planerat underhåll byte 2055</t>
  </si>
  <si>
    <t>Totalt Planerat underhåll 2056</t>
  </si>
  <si>
    <t>Totalt Planerat underhåll byte 2056</t>
  </si>
  <si>
    <t>Totalt Planerat underhåll 2057</t>
  </si>
  <si>
    <t>Totalt Planerat underhåll byte 2057</t>
  </si>
  <si>
    <t>Totalt Planerat underhåll 2058</t>
  </si>
  <si>
    <t>Totalt Planerat underhåll byte2058</t>
  </si>
  <si>
    <t>Totalt Planerat underhåll 2059</t>
  </si>
  <si>
    <t>Totalt Planerat underhåll byte2059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</si>
</sst>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kr]"/>
    <numFmt numFmtId="165" formatCode="#,##0&quot; kr&quot;;\-#,##0&quot; kr&quot;"/>
    <numFmt numFmtId="166" formatCode="#,##0[$ kr]"/>
    <numFmt numFmtId="167" formatCode="yyyy\-mm\-dd"/>
    <numFmt numFmtId="168" formatCode="#,##0\ &quot;kr&quot;"/>
  </numFmts>
  <fonts count="59">
    <font>
      <sz val="11"/>
      <color rgb="FF000000"/>
      <name val="Calibri"/>
    </font>
    <font>
      <b/>
      <sz val="36"/>
      <color rgb="FF000000"/>
      <name val="Arial"/>
      <family val="2"/>
    </font>
    <font>
      <sz val="11"/>
      <name val="Calibri"/>
      <family val="2"/>
    </font>
    <font>
      <sz val="11"/>
      <color rgb="FF0000FF"/>
      <name val="Calibri"/>
      <family val="2"/>
    </font>
    <font>
      <b/>
      <sz val="13"/>
      <color theme="1"/>
      <name val="Arial"/>
      <family val="2"/>
    </font>
    <font>
      <b/>
      <sz val="11"/>
      <color theme="1"/>
      <name val="Calibri"/>
      <family val="2"/>
    </font>
    <font>
      <b/>
      <sz val="9"/>
      <color theme="1"/>
      <name val="Calibri"/>
      <family val="2"/>
    </font>
    <font>
      <b/>
      <sz val="10"/>
      <color theme="1"/>
      <name val="Calibri"/>
      <family val="2"/>
    </font>
    <font>
      <b/>
      <sz val="12"/>
      <color rgb="FFFF0000"/>
      <name val="Calibri"/>
      <family val="2"/>
    </font>
    <font>
      <b/>
      <sz val="10"/>
      <color rgb="FF000000"/>
      <name val="Calibri"/>
      <family val="2"/>
    </font>
    <font>
      <b/>
      <sz val="14"/>
      <color theme="1"/>
      <name val="Calibri"/>
      <family val="2"/>
    </font>
    <font>
      <b/>
      <sz val="12"/>
      <color rgb="FF000000"/>
      <name val="Calibri"/>
      <family val="2"/>
    </font>
    <font>
      <sz val="12"/>
      <color rgb="FF000000"/>
      <name val="Calibri"/>
      <family val="2"/>
    </font>
    <font>
      <b/>
      <sz val="11"/>
      <color theme="1"/>
      <name val="Arial"/>
      <family val="2"/>
    </font>
    <font>
      <sz val="11"/>
      <color theme="1"/>
      <name val="Calibri"/>
      <family val="2"/>
    </font>
    <font>
      <sz val="12"/>
      <color rgb="FFFF0000"/>
      <name val="Calibri"/>
      <family val="2"/>
    </font>
    <font>
      <sz val="10"/>
      <color rgb="FF000000"/>
      <name val="Calibri"/>
      <family val="2"/>
    </font>
    <font>
      <sz val="13"/>
      <color theme="1"/>
      <name val="Calibri"/>
      <family val="2"/>
    </font>
    <font>
      <sz val="13"/>
      <color rgb="FF000000"/>
      <name val="Calibri"/>
      <family val="2"/>
    </font>
    <font>
      <sz val="12"/>
      <color theme="1"/>
      <name val="Calibri"/>
      <family val="2"/>
    </font>
    <font>
      <b/>
      <sz val="13"/>
      <color theme="1"/>
      <name val="Calibri"/>
      <family val="2"/>
    </font>
    <font>
      <sz val="9"/>
      <color theme="1"/>
      <name val="Calibri"/>
      <family val="2"/>
    </font>
    <font>
      <b/>
      <u/>
      <sz val="12"/>
      <color rgb="FF000000"/>
      <name val="Calibri"/>
      <family val="2"/>
    </font>
    <font>
      <b/>
      <sz val="10"/>
      <color rgb="FF000000"/>
      <name val="Arial"/>
      <family val="2"/>
    </font>
    <font>
      <sz val="9"/>
      <color rgb="FF000000"/>
      <name val="Calibri"/>
      <family val="2"/>
    </font>
    <font>
      <b/>
      <sz val="9"/>
      <color rgb="FF000000"/>
      <name val="Arial"/>
      <family val="2"/>
    </font>
    <font>
      <b/>
      <sz val="11"/>
      <color rgb="FF000000"/>
      <name val="Calibri"/>
      <family val="2"/>
    </font>
    <font>
      <b/>
      <sz val="13"/>
      <color rgb="FF000000"/>
      <name val="Calibri"/>
      <family val="2"/>
    </font>
    <font>
      <b/>
      <sz val="11"/>
      <color rgb="FF000000"/>
      <name val="Arial"/>
      <family val="2"/>
    </font>
    <font>
      <b/>
      <sz val="12"/>
      <color rgb="FF000000"/>
      <name val="Arial"/>
      <family val="2"/>
    </font>
    <font>
      <sz val="11"/>
      <color rgb="FF000000"/>
      <name val="Calibri"/>
      <family val="2"/>
    </font>
    <font>
      <b/>
      <sz val="9"/>
      <color theme="1"/>
      <name val="Arial"/>
      <family val="2"/>
    </font>
    <font>
      <b/>
      <sz val="12"/>
      <color theme="1"/>
      <name val="Calibri"/>
      <family val="2"/>
    </font>
    <font>
      <sz val="11"/>
      <color theme="1"/>
      <name val="Calibri"/>
      <family val="2"/>
    </font>
    <font>
      <b/>
      <sz val="9"/>
      <color rgb="FFFF0000"/>
      <name val="Arial"/>
      <family val="2"/>
    </font>
    <font>
      <sz val="11"/>
      <color rgb="FFFF0000"/>
      <name val="Calibri"/>
      <family val="2"/>
    </font>
    <font>
      <b/>
      <sz val="11"/>
      <color rgb="FF0000FF"/>
      <name val="Inconsolata"/>
    </font>
    <font>
      <sz val="11"/>
      <color rgb="FF0000FF"/>
      <name val="Arial"/>
      <family val="2"/>
    </font>
    <font>
      <b/>
      <sz val="12"/>
      <color rgb="FF0000FF"/>
      <name val="Calibri"/>
      <family val="2"/>
    </font>
    <font>
      <sz val="12"/>
      <color rgb="FF0000FF"/>
      <name val="Calibri"/>
      <family val="2"/>
    </font>
    <font>
      <sz val="11"/>
      <color rgb="FF000000"/>
      <name val="Arial"/>
      <family val="2"/>
    </font>
    <font>
      <sz val="11"/>
      <color rgb="FF0000FF"/>
      <name val="Calibri"/>
      <family val="2"/>
    </font>
    <font>
      <i/>
      <sz val="12"/>
      <color theme="1"/>
      <name val="Calibri"/>
      <family val="2"/>
    </font>
    <font>
      <b/>
      <i/>
      <sz val="12"/>
      <color theme="1"/>
      <name val="Calibri"/>
      <family val="2"/>
    </font>
    <font>
      <sz val="11"/>
      <color theme="1"/>
      <name val="Arial"/>
      <family val="2"/>
    </font>
    <font>
      <b/>
      <sz val="12"/>
      <color theme="1"/>
      <name val="Arial"/>
      <family val="2"/>
    </font>
    <font>
      <sz val="13"/>
      <color rgb="FFFF0000"/>
      <name val="Calibri"/>
      <family val="2"/>
    </font>
    <font>
      <b/>
      <sz val="13"/>
      <color rgb="FFFF0000"/>
      <name val="Calibri"/>
      <family val="2"/>
    </font>
    <font>
      <u/>
      <sz val="12"/>
      <color theme="1"/>
      <name val="Calibri"/>
      <family val="2"/>
    </font>
    <font>
      <sz val="12"/>
      <color rgb="FF434343"/>
      <name val="Calibri"/>
      <family val="2"/>
    </font>
    <font>
      <b/>
      <sz val="12"/>
      <color rgb="FF434343"/>
      <name val="Calibri"/>
      <family val="2"/>
    </font>
    <font>
      <sz val="11"/>
      <color rgb="FF000000"/>
      <name val="Arial"/>
      <family val="2"/>
    </font>
    <font>
      <sz val="12"/>
      <color theme="1"/>
      <name val="Calibri, Arial"/>
    </font>
    <font>
      <sz val="13"/>
      <color theme="1"/>
      <name val="Calibri, Arial"/>
    </font>
    <font>
      <sz val="12"/>
      <color rgb="FF0000FF"/>
      <name val="Calibri, Arial"/>
    </font>
    <font>
      <i/>
      <sz val="12"/>
      <color rgb="FF000000"/>
      <name val="Calibri"/>
      <family val="2"/>
    </font>
    <font>
      <b/>
      <i/>
      <sz val="12"/>
      <color rgb="FF000000"/>
      <name val="Calibri"/>
      <family val="2"/>
    </font>
    <font>
      <b/>
      <sz val="12"/>
      <color theme="1"/>
      <name val="Calibri, Arial"/>
    </font>
    <font>
      <u/>
      <sz val="13"/>
      <color rgb="FF1155CC"/>
      <name val="Calibri"/>
      <family val="2"/>
    </font>
  </fonts>
  <fills count="18">
    <fill>
      <patternFill patternType="none"/>
    </fill>
    <fill>
      <patternFill patternType="gray125"/>
    </fill>
    <fill>
      <patternFill patternType="solid">
        <fgColor rgb="FFFFFFFF"/>
        <bgColor rgb="FFFFFFFF"/>
      </patternFill>
    </fill>
    <fill>
      <patternFill patternType="solid">
        <fgColor rgb="FF8DB3E2"/>
        <bgColor rgb="FF8DB3E2"/>
      </patternFill>
    </fill>
    <fill>
      <patternFill patternType="solid">
        <fgColor rgb="FFE5B8B7"/>
        <bgColor rgb="FFE5B8B7"/>
      </patternFill>
    </fill>
    <fill>
      <patternFill patternType="solid">
        <fgColor rgb="FFFBD4B4"/>
        <bgColor rgb="FFFBD4B4"/>
      </patternFill>
    </fill>
    <fill>
      <patternFill patternType="solid">
        <fgColor rgb="FFB2A1C7"/>
        <bgColor rgb="FFB2A1C7"/>
      </patternFill>
    </fill>
    <fill>
      <patternFill patternType="solid">
        <fgColor rgb="FFC2D69B"/>
        <bgColor rgb="FFC2D69B"/>
      </patternFill>
    </fill>
    <fill>
      <patternFill patternType="solid">
        <fgColor rgb="FFD6E3BC"/>
        <bgColor rgb="FFD6E3BC"/>
      </patternFill>
    </fill>
    <fill>
      <patternFill patternType="solid">
        <fgColor rgb="FFFBFFC5"/>
        <bgColor rgb="FFFBFFC5"/>
      </patternFill>
    </fill>
    <fill>
      <patternFill patternType="solid">
        <fgColor rgb="FFEEECE1"/>
        <bgColor rgb="FFEEECE1"/>
      </patternFill>
    </fill>
    <fill>
      <patternFill patternType="solid">
        <fgColor rgb="FFFF9900"/>
        <bgColor rgb="FFFF9900"/>
      </patternFill>
    </fill>
    <fill>
      <patternFill patternType="solid">
        <fgColor rgb="FFFFFF00"/>
        <bgColor rgb="FFFFFF00"/>
      </patternFill>
    </fill>
    <fill>
      <patternFill patternType="solid">
        <fgColor rgb="FF00FF00"/>
        <bgColor rgb="FF00FF00"/>
      </patternFill>
    </fill>
    <fill>
      <patternFill patternType="solid">
        <fgColor rgb="FFC0C0C0"/>
        <bgColor rgb="FFC0C0C0"/>
      </patternFill>
    </fill>
    <fill>
      <patternFill patternType="solid">
        <fgColor rgb="FFBFBFBF"/>
        <bgColor rgb="FFBFBFBF"/>
      </patternFill>
    </fill>
    <fill>
      <patternFill patternType="solid">
        <fgColor rgb="FFB7B7B7"/>
        <bgColor rgb="FFB7B7B7"/>
      </patternFill>
    </fill>
    <fill>
      <patternFill patternType="solid">
        <fgColor rgb="FFD8D8D8"/>
        <bgColor rgb="FFD8D8D8"/>
      </patternFill>
    </fill>
  </fills>
  <borders count="3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diagonal/>
    </border>
    <border>
      <left/>
      <right/>
      <top/>
      <bottom style="thin">
        <color rgb="FF000000"/>
      </bottom>
      <diagonal/>
    </border>
    <border>
      <left style="thin">
        <color rgb="FF000000"/>
      </left>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s>
  <cellStyleXfs count="1">
    <xf numFmtId="0" fontId="0" fillId="0" borderId="0"/>
  </cellStyleXfs>
  <cellXfs count="443">
    <xf numFmtId="0" fontId="0" fillId="0" borderId="0" xfId="0"/>
    <xf numFmtId="0" fontId="3" fillId="0" borderId="0" xfId="0" applyFont="1"/>
    <xf numFmtId="0" fontId="4" fillId="2" borderId="4" xfId="0" applyFont="1" applyFill="1" applyBorder="1"/>
    <xf numFmtId="0" fontId="5" fillId="2" borderId="5" xfId="0" applyFont="1" applyFill="1" applyBorder="1" applyAlignment="1">
      <alignment horizontal="left" wrapText="1"/>
    </xf>
    <xf numFmtId="0" fontId="6" fillId="0" borderId="0" xfId="0" applyFont="1"/>
    <xf numFmtId="14" fontId="7" fillId="2" borderId="5" xfId="0" applyNumberFormat="1" applyFont="1" applyFill="1" applyBorder="1" applyAlignment="1">
      <alignment vertical="center"/>
    </xf>
    <xf numFmtId="14" fontId="8" fillId="2" borderId="5" xfId="0" applyNumberFormat="1" applyFont="1" applyFill="1" applyBorder="1" applyAlignment="1">
      <alignment vertical="center"/>
    </xf>
    <xf numFmtId="14" fontId="9" fillId="2" borderId="5" xfId="0" applyNumberFormat="1" applyFont="1" applyFill="1" applyBorder="1" applyAlignment="1">
      <alignment vertical="center"/>
    </xf>
    <xf numFmtId="0" fontId="10" fillId="2" borderId="5" xfId="0" applyFont="1" applyFill="1" applyBorder="1" applyAlignment="1">
      <alignment vertical="center"/>
    </xf>
    <xf numFmtId="14" fontId="11" fillId="2" borderId="5" xfId="0" applyNumberFormat="1" applyFont="1" applyFill="1" applyBorder="1" applyAlignment="1">
      <alignment vertical="center"/>
    </xf>
    <xf numFmtId="165" fontId="9" fillId="2" borderId="5" xfId="0" applyNumberFormat="1" applyFont="1" applyFill="1" applyBorder="1" applyAlignment="1">
      <alignment horizontal="left" vertical="center"/>
    </xf>
    <xf numFmtId="165" fontId="11" fillId="2" borderId="5" xfId="0" applyNumberFormat="1" applyFont="1" applyFill="1" applyBorder="1" applyAlignment="1">
      <alignment horizontal="left" vertical="center"/>
    </xf>
    <xf numFmtId="165" fontId="12" fillId="2" borderId="5" xfId="0" applyNumberFormat="1" applyFont="1" applyFill="1" applyBorder="1" applyAlignment="1">
      <alignment horizontal="left" vertical="center"/>
    </xf>
    <xf numFmtId="1" fontId="0" fillId="2" borderId="5" xfId="0" applyNumberFormat="1" applyFill="1" applyBorder="1"/>
    <xf numFmtId="166" fontId="0" fillId="2" borderId="5" xfId="0" applyNumberFormat="1" applyFill="1" applyBorder="1" applyAlignment="1">
      <alignment horizontal="center"/>
    </xf>
    <xf numFmtId="165" fontId="12" fillId="2" borderId="6" xfId="0" applyNumberFormat="1" applyFont="1" applyFill="1" applyBorder="1" applyAlignment="1">
      <alignment horizontal="left" vertical="center"/>
    </xf>
    <xf numFmtId="0" fontId="5" fillId="2" borderId="5" xfId="0" applyFont="1" applyFill="1" applyBorder="1" applyAlignment="1">
      <alignment vertical="center"/>
    </xf>
    <xf numFmtId="165" fontId="14" fillId="2" borderId="5" xfId="0" applyNumberFormat="1" applyFont="1" applyFill="1" applyBorder="1" applyAlignment="1">
      <alignment horizontal="left" vertical="center"/>
    </xf>
    <xf numFmtId="165" fontId="15" fillId="2" borderId="5" xfId="0" applyNumberFormat="1" applyFont="1" applyFill="1" applyBorder="1" applyAlignment="1">
      <alignment horizontal="left" vertical="center"/>
    </xf>
    <xf numFmtId="165" fontId="16" fillId="2" borderId="5" xfId="0" applyNumberFormat="1" applyFont="1" applyFill="1" applyBorder="1" applyAlignment="1">
      <alignment horizontal="left" vertical="center"/>
    </xf>
    <xf numFmtId="165" fontId="17" fillId="2" borderId="5" xfId="0" applyNumberFormat="1" applyFont="1" applyFill="1" applyBorder="1" applyAlignment="1">
      <alignment horizontal="left" vertical="center"/>
    </xf>
    <xf numFmtId="0" fontId="16" fillId="2" borderId="5" xfId="0" applyFont="1" applyFill="1" applyBorder="1"/>
    <xf numFmtId="0" fontId="12" fillId="2" borderId="5" xfId="0" applyFont="1" applyFill="1" applyBorder="1"/>
    <xf numFmtId="166" fontId="16" fillId="2" borderId="5" xfId="0" applyNumberFormat="1" applyFont="1" applyFill="1" applyBorder="1"/>
    <xf numFmtId="14" fontId="11" fillId="2" borderId="6" xfId="0" applyNumberFormat="1" applyFont="1" applyFill="1" applyBorder="1" applyAlignment="1">
      <alignment vertical="center"/>
    </xf>
    <xf numFmtId="0" fontId="13" fillId="2" borderId="4" xfId="0" applyFont="1" applyFill="1" applyBorder="1"/>
    <xf numFmtId="1" fontId="5" fillId="2" borderId="5" xfId="0" applyNumberFormat="1" applyFont="1" applyFill="1" applyBorder="1"/>
    <xf numFmtId="3" fontId="16" fillId="2" borderId="5" xfId="0" applyNumberFormat="1" applyFont="1" applyFill="1" applyBorder="1" applyAlignment="1">
      <alignment horizontal="right" vertical="center"/>
    </xf>
    <xf numFmtId="0" fontId="18" fillId="2" borderId="6" xfId="0" applyFont="1" applyFill="1" applyBorder="1"/>
    <xf numFmtId="165" fontId="19" fillId="2" borderId="5" xfId="0" applyNumberFormat="1" applyFont="1" applyFill="1" applyBorder="1" applyAlignment="1">
      <alignment horizontal="left" vertical="center"/>
    </xf>
    <xf numFmtId="14" fontId="16" fillId="2" borderId="5" xfId="0" applyNumberFormat="1" applyFont="1" applyFill="1" applyBorder="1" applyAlignment="1">
      <alignment vertical="center"/>
    </xf>
    <xf numFmtId="14" fontId="12" fillId="2" borderId="5" xfId="0" applyNumberFormat="1" applyFont="1" applyFill="1" applyBorder="1" applyAlignment="1">
      <alignment vertical="center"/>
    </xf>
    <xf numFmtId="0" fontId="12" fillId="2" borderId="6" xfId="0" applyFont="1" applyFill="1" applyBorder="1"/>
    <xf numFmtId="0" fontId="5" fillId="2" borderId="5" xfId="0" applyFont="1" applyFill="1" applyBorder="1"/>
    <xf numFmtId="167" fontId="20" fillId="2" borderId="5" xfId="0" applyNumberFormat="1" applyFont="1" applyFill="1" applyBorder="1" applyAlignment="1">
      <alignment horizontal="left" vertical="center"/>
    </xf>
    <xf numFmtId="165" fontId="21" fillId="2" borderId="5" xfId="0" applyNumberFormat="1" applyFont="1" applyFill="1" applyBorder="1" applyAlignment="1">
      <alignment horizontal="left" vertical="center"/>
    </xf>
    <xf numFmtId="0" fontId="22" fillId="2" borderId="6" xfId="0" applyFont="1" applyFill="1" applyBorder="1" applyAlignment="1">
      <alignment vertical="center"/>
    </xf>
    <xf numFmtId="0" fontId="24" fillId="2" borderId="11" xfId="0" applyFont="1" applyFill="1" applyBorder="1"/>
    <xf numFmtId="165" fontId="16" fillId="2" borderId="11" xfId="0" applyNumberFormat="1" applyFont="1" applyFill="1" applyBorder="1" applyAlignment="1">
      <alignment horizontal="left" vertical="center"/>
    </xf>
    <xf numFmtId="165" fontId="12" fillId="2" borderId="11" xfId="0" applyNumberFormat="1" applyFont="1" applyFill="1" applyBorder="1" applyAlignment="1">
      <alignment horizontal="left" vertical="center"/>
    </xf>
    <xf numFmtId="0" fontId="16" fillId="2" borderId="11" xfId="0" applyFont="1" applyFill="1" applyBorder="1"/>
    <xf numFmtId="0" fontId="12" fillId="2" borderId="11" xfId="0" applyFont="1" applyFill="1" applyBorder="1"/>
    <xf numFmtId="1" fontId="0" fillId="2" borderId="11" xfId="0" applyNumberFormat="1" applyFill="1" applyBorder="1"/>
    <xf numFmtId="166" fontId="0" fillId="2" borderId="11" xfId="0" applyNumberFormat="1" applyFill="1" applyBorder="1" applyAlignment="1">
      <alignment horizontal="center"/>
    </xf>
    <xf numFmtId="14" fontId="11" fillId="2" borderId="12" xfId="0" applyNumberFormat="1" applyFont="1" applyFill="1" applyBorder="1" applyAlignment="1">
      <alignment vertical="center"/>
    </xf>
    <xf numFmtId="165" fontId="24" fillId="2" borderId="5" xfId="0" applyNumberFormat="1" applyFont="1" applyFill="1" applyBorder="1" applyAlignment="1">
      <alignment horizontal="left" vertical="center"/>
    </xf>
    <xf numFmtId="0" fontId="25" fillId="3" borderId="13" xfId="0" applyFont="1" applyFill="1" applyBorder="1" applyAlignment="1">
      <alignment horizontal="center" vertical="center"/>
    </xf>
    <xf numFmtId="0" fontId="26" fillId="3" borderId="13" xfId="0" applyFont="1" applyFill="1" applyBorder="1" applyAlignment="1">
      <alignment horizontal="center" vertical="center"/>
    </xf>
    <xf numFmtId="0" fontId="26" fillId="4" borderId="13" xfId="0" applyFont="1" applyFill="1" applyBorder="1" applyAlignment="1">
      <alignment horizontal="center" vertical="center" textRotation="45"/>
    </xf>
    <xf numFmtId="0" fontId="26" fillId="5" borderId="13" xfId="0" applyFont="1" applyFill="1" applyBorder="1" applyAlignment="1">
      <alignment horizontal="center" vertical="center" textRotation="45"/>
    </xf>
    <xf numFmtId="0" fontId="11" fillId="6" borderId="13" xfId="0" applyFont="1" applyFill="1" applyBorder="1" applyAlignment="1">
      <alignment horizontal="center" vertical="center" textRotation="45"/>
    </xf>
    <xf numFmtId="0" fontId="11" fillId="7" borderId="13" xfId="0" applyFont="1" applyFill="1" applyBorder="1" applyAlignment="1">
      <alignment horizontal="center" vertical="center" textRotation="45"/>
    </xf>
    <xf numFmtId="0" fontId="27" fillId="8" borderId="13" xfId="0" applyFont="1" applyFill="1" applyBorder="1" applyAlignment="1">
      <alignment horizontal="center" vertical="center" textRotation="45"/>
    </xf>
    <xf numFmtId="0" fontId="11" fillId="9" borderId="13" xfId="0" applyFont="1" applyFill="1" applyBorder="1" applyAlignment="1">
      <alignment horizontal="center" vertical="center" textRotation="45"/>
    </xf>
    <xf numFmtId="0" fontId="11" fillId="10" borderId="13" xfId="0" applyFont="1" applyFill="1" applyBorder="1" applyAlignment="1">
      <alignment horizontal="center" vertical="center" textRotation="45"/>
    </xf>
    <xf numFmtId="166" fontId="11" fillId="9" borderId="13" xfId="0" applyNumberFormat="1" applyFont="1" applyFill="1" applyBorder="1" applyAlignment="1">
      <alignment horizontal="center" vertical="center" textRotation="45"/>
    </xf>
    <xf numFmtId="49" fontId="12" fillId="0" borderId="14" xfId="0" applyNumberFormat="1" applyFont="1" applyBorder="1" applyAlignment="1">
      <alignment horizontal="center"/>
    </xf>
    <xf numFmtId="0" fontId="11" fillId="11" borderId="15" xfId="0" applyFont="1" applyFill="1" applyBorder="1" applyAlignment="1">
      <alignment horizontal="center"/>
    </xf>
    <xf numFmtId="0" fontId="11" fillId="12" borderId="16" xfId="0" applyFont="1" applyFill="1" applyBorder="1" applyAlignment="1">
      <alignment horizontal="center"/>
    </xf>
    <xf numFmtId="0" fontId="11" fillId="13" borderId="16" xfId="0" applyFont="1" applyFill="1" applyBorder="1" applyAlignment="1">
      <alignment horizontal="center"/>
    </xf>
    <xf numFmtId="0" fontId="11" fillId="0" borderId="16" xfId="0" applyFont="1" applyBorder="1" applyAlignment="1">
      <alignment horizontal="center"/>
    </xf>
    <xf numFmtId="0" fontId="25" fillId="14" borderId="15" xfId="0" applyFont="1" applyFill="1" applyBorder="1" applyAlignment="1">
      <alignment horizontal="left" vertical="top"/>
    </xf>
    <xf numFmtId="0" fontId="28" fillId="14" borderId="15" xfId="0" applyFont="1" applyFill="1" applyBorder="1" applyAlignment="1">
      <alignment horizontal="left" vertical="top" wrapText="1"/>
    </xf>
    <xf numFmtId="0" fontId="16" fillId="4" borderId="15" xfId="0" applyFont="1" applyFill="1" applyBorder="1" applyAlignment="1">
      <alignment horizontal="center"/>
    </xf>
    <xf numFmtId="0" fontId="16" fillId="5" borderId="15" xfId="0" applyFont="1" applyFill="1" applyBorder="1" applyAlignment="1">
      <alignment horizontal="center"/>
    </xf>
    <xf numFmtId="0" fontId="11" fillId="6" borderId="15" xfId="0" applyFont="1" applyFill="1" applyBorder="1" applyAlignment="1">
      <alignment horizontal="left" vertical="top" wrapText="1"/>
    </xf>
    <xf numFmtId="0" fontId="23" fillId="14" borderId="15" xfId="0" applyFont="1" applyFill="1" applyBorder="1" applyAlignment="1">
      <alignment horizontal="left" vertical="top" wrapText="1"/>
    </xf>
    <xf numFmtId="0" fontId="29" fillId="14" borderId="15" xfId="0" applyFont="1" applyFill="1" applyBorder="1" applyAlignment="1">
      <alignment horizontal="left" vertical="top" wrapText="1"/>
    </xf>
    <xf numFmtId="1" fontId="23" fillId="14" borderId="15" xfId="0" applyNumberFormat="1" applyFont="1" applyFill="1" applyBorder="1" applyAlignment="1">
      <alignment horizontal="left" vertical="top" wrapText="1"/>
    </xf>
    <xf numFmtId="166" fontId="23" fillId="14" borderId="15" xfId="0" applyNumberFormat="1" applyFont="1" applyFill="1" applyBorder="1" applyAlignment="1">
      <alignment horizontal="center" vertical="top" wrapText="1"/>
    </xf>
    <xf numFmtId="0" fontId="12" fillId="15" borderId="15" xfId="0" applyFont="1" applyFill="1" applyBorder="1" applyAlignment="1">
      <alignment horizontal="center"/>
    </xf>
    <xf numFmtId="0" fontId="30" fillId="0" borderId="0" xfId="0" applyFont="1"/>
    <xf numFmtId="0" fontId="31" fillId="2" borderId="0" xfId="0" applyFont="1" applyFill="1" applyAlignment="1">
      <alignment vertical="top"/>
    </xf>
    <xf numFmtId="0" fontId="19" fillId="2" borderId="15" xfId="0" applyFont="1" applyFill="1" applyBorder="1" applyAlignment="1">
      <alignment wrapText="1"/>
    </xf>
    <xf numFmtId="0" fontId="19" fillId="4" borderId="15" xfId="0" applyFont="1" applyFill="1" applyBorder="1"/>
    <xf numFmtId="0" fontId="19" fillId="5" borderId="15" xfId="0" applyFont="1" applyFill="1" applyBorder="1"/>
    <xf numFmtId="0" fontId="32" fillId="6" borderId="15" xfId="0" applyFont="1" applyFill="1" applyBorder="1" applyAlignment="1">
      <alignment horizontal="left" wrapText="1"/>
    </xf>
    <xf numFmtId="0" fontId="32" fillId="0" borderId="15" xfId="0" applyFont="1" applyBorder="1" applyAlignment="1">
      <alignment horizontal="center" wrapText="1"/>
    </xf>
    <xf numFmtId="0" fontId="19" fillId="0" borderId="0" xfId="0" applyFont="1" applyAlignment="1">
      <alignment wrapText="1"/>
    </xf>
    <xf numFmtId="3" fontId="14" fillId="0" borderId="15" xfId="0" applyNumberFormat="1" applyFont="1" applyBorder="1"/>
    <xf numFmtId="3" fontId="19" fillId="0" borderId="15" xfId="0" applyNumberFormat="1" applyFont="1" applyBorder="1" applyAlignment="1">
      <alignment horizontal="center"/>
    </xf>
    <xf numFmtId="1" fontId="19" fillId="0" borderId="15" xfId="0" applyNumberFormat="1" applyFont="1" applyBorder="1" applyAlignment="1">
      <alignment horizontal="center"/>
    </xf>
    <xf numFmtId="168" fontId="19" fillId="0" borderId="15" xfId="0" applyNumberFormat="1" applyFont="1" applyBorder="1" applyAlignment="1">
      <alignment horizontal="center"/>
    </xf>
    <xf numFmtId="168" fontId="19" fillId="2" borderId="15" xfId="0" applyNumberFormat="1" applyFont="1" applyFill="1" applyBorder="1" applyAlignment="1">
      <alignment wrapText="1"/>
    </xf>
    <xf numFmtId="0" fontId="19" fillId="0" borderId="0" xfId="0" applyFont="1"/>
    <xf numFmtId="0" fontId="14" fillId="0" borderId="0" xfId="0" applyFont="1"/>
    <xf numFmtId="0" fontId="31" fillId="0" borderId="15" xfId="0" applyFont="1" applyBorder="1" applyAlignment="1">
      <alignment horizontal="left"/>
    </xf>
    <xf numFmtId="0" fontId="19" fillId="0" borderId="17" xfId="0" applyFont="1" applyBorder="1" applyAlignment="1">
      <alignment horizontal="left" wrapText="1"/>
    </xf>
    <xf numFmtId="0" fontId="19" fillId="4" borderId="13" xfId="0" applyFont="1" applyFill="1" applyBorder="1" applyAlignment="1">
      <alignment horizontal="center"/>
    </xf>
    <xf numFmtId="0" fontId="19" fillId="5" borderId="13" xfId="0" applyFont="1" applyFill="1" applyBorder="1" applyAlignment="1">
      <alignment horizontal="center"/>
    </xf>
    <xf numFmtId="0" fontId="19" fillId="0" borderId="15" xfId="0" applyFont="1" applyBorder="1"/>
    <xf numFmtId="0" fontId="19" fillId="0" borderId="15" xfId="0" applyFont="1" applyBorder="1" applyAlignment="1">
      <alignment horizontal="center"/>
    </xf>
    <xf numFmtId="3" fontId="19" fillId="0" borderId="15" xfId="0" applyNumberFormat="1" applyFont="1" applyBorder="1"/>
    <xf numFmtId="49" fontId="19" fillId="0" borderId="15" xfId="0" applyNumberFormat="1" applyFont="1" applyBorder="1" applyAlignment="1">
      <alignment horizontal="center"/>
    </xf>
    <xf numFmtId="0" fontId="19" fillId="0" borderId="15" xfId="0" applyFont="1" applyBorder="1" applyAlignment="1">
      <alignment wrapText="1"/>
    </xf>
    <xf numFmtId="0" fontId="33" fillId="0" borderId="0" xfId="0" applyFont="1"/>
    <xf numFmtId="0" fontId="31" fillId="2" borderId="0" xfId="0" applyFont="1" applyFill="1"/>
    <xf numFmtId="0" fontId="19" fillId="4" borderId="17" xfId="0" applyFont="1" applyFill="1" applyBorder="1" applyAlignment="1">
      <alignment horizontal="center"/>
    </xf>
    <xf numFmtId="0" fontId="19" fillId="5" borderId="17" xfId="0" applyFont="1" applyFill="1" applyBorder="1" applyAlignment="1">
      <alignment horizontal="center"/>
    </xf>
    <xf numFmtId="0" fontId="32" fillId="0" borderId="15" xfId="0" applyFont="1" applyBorder="1" applyAlignment="1">
      <alignment horizontal="center"/>
    </xf>
    <xf numFmtId="0" fontId="32" fillId="2" borderId="15" xfId="0" applyFont="1" applyFill="1" applyBorder="1" applyAlignment="1">
      <alignment wrapText="1"/>
    </xf>
    <xf numFmtId="166" fontId="19" fillId="0" borderId="15" xfId="0" applyNumberFormat="1" applyFont="1" applyBorder="1" applyAlignment="1">
      <alignment horizontal="center"/>
    </xf>
    <xf numFmtId="168" fontId="19" fillId="0" borderId="15" xfId="0" applyNumberFormat="1" applyFont="1" applyBorder="1" applyAlignment="1">
      <alignment horizontal="left" wrapText="1"/>
    </xf>
    <xf numFmtId="0" fontId="31" fillId="0" borderId="17" xfId="0" applyFont="1" applyBorder="1" applyAlignment="1">
      <alignment horizontal="left"/>
    </xf>
    <xf numFmtId="0" fontId="19" fillId="0" borderId="16" xfId="0" applyFont="1" applyBorder="1" applyAlignment="1">
      <alignment wrapText="1"/>
    </xf>
    <xf numFmtId="168" fontId="19" fillId="0" borderId="16" xfId="0" applyNumberFormat="1" applyFont="1" applyBorder="1" applyAlignment="1">
      <alignment horizontal="left" wrapText="1"/>
    </xf>
    <xf numFmtId="0" fontId="32" fillId="0" borderId="18" xfId="0" applyFont="1" applyBorder="1" applyAlignment="1">
      <alignment horizontal="center"/>
    </xf>
    <xf numFmtId="0" fontId="33" fillId="0" borderId="15" xfId="0" applyFont="1" applyBorder="1"/>
    <xf numFmtId="168" fontId="17" fillId="0" borderId="15" xfId="0" applyNumberFormat="1" applyFont="1" applyBorder="1" applyAlignment="1">
      <alignment wrapText="1"/>
    </xf>
    <xf numFmtId="168" fontId="19" fillId="0" borderId="15" xfId="0" applyNumberFormat="1" applyFont="1" applyBorder="1" applyAlignment="1">
      <alignment wrapText="1"/>
    </xf>
    <xf numFmtId="0" fontId="19" fillId="0" borderId="15" xfId="0" applyFont="1" applyBorder="1" applyAlignment="1">
      <alignment horizontal="left" wrapText="1"/>
    </xf>
    <xf numFmtId="0" fontId="19" fillId="4" borderId="15" xfId="0" applyFont="1" applyFill="1" applyBorder="1" applyAlignment="1">
      <alignment horizontal="center"/>
    </xf>
    <xf numFmtId="0" fontId="19" fillId="5" borderId="15" xfId="0" applyFont="1" applyFill="1" applyBorder="1" applyAlignment="1">
      <alignment horizontal="center"/>
    </xf>
    <xf numFmtId="0" fontId="32" fillId="0" borderId="18" xfId="0" applyFont="1" applyBorder="1" applyAlignment="1">
      <alignment horizontal="center" wrapText="1"/>
    </xf>
    <xf numFmtId="3" fontId="19" fillId="0" borderId="18" xfId="0" applyNumberFormat="1" applyFont="1" applyBorder="1" applyAlignment="1">
      <alignment horizontal="center"/>
    </xf>
    <xf numFmtId="0" fontId="31" fillId="0" borderId="15" xfId="0" applyFont="1" applyBorder="1" applyAlignment="1">
      <alignment horizontal="left" vertical="top"/>
    </xf>
    <xf numFmtId="0" fontId="19" fillId="4" borderId="19" xfId="0" applyFont="1" applyFill="1" applyBorder="1" applyAlignment="1">
      <alignment horizontal="center"/>
    </xf>
    <xf numFmtId="0" fontId="19" fillId="5" borderId="19" xfId="0" applyFont="1" applyFill="1" applyBorder="1" applyAlignment="1">
      <alignment horizontal="center"/>
    </xf>
    <xf numFmtId="0" fontId="32" fillId="6" borderId="15" xfId="0" applyFont="1" applyFill="1" applyBorder="1" applyAlignment="1">
      <alignment wrapText="1"/>
    </xf>
    <xf numFmtId="0" fontId="32" fillId="0" borderId="20" xfId="0" applyFont="1" applyBorder="1" applyAlignment="1">
      <alignment horizontal="center" wrapText="1"/>
    </xf>
    <xf numFmtId="3" fontId="32" fillId="0" borderId="16" xfId="0" applyNumberFormat="1" applyFont="1" applyBorder="1" applyAlignment="1">
      <alignment horizontal="center" wrapText="1"/>
    </xf>
    <xf numFmtId="166" fontId="19" fillId="0" borderId="16" xfId="0" applyNumberFormat="1" applyFont="1" applyBorder="1" applyAlignment="1">
      <alignment horizontal="center" wrapText="1"/>
    </xf>
    <xf numFmtId="0" fontId="19" fillId="2" borderId="21" xfId="0" applyFont="1" applyFill="1" applyBorder="1" applyAlignment="1">
      <alignment horizontal="left" wrapText="1"/>
    </xf>
    <xf numFmtId="0" fontId="31" fillId="0" borderId="17" xfId="0" applyFont="1" applyBorder="1" applyAlignment="1">
      <alignment horizontal="left" vertical="top"/>
    </xf>
    <xf numFmtId="0" fontId="32" fillId="0" borderId="17" xfId="0" applyFont="1" applyBorder="1" applyAlignment="1">
      <alignment horizontal="center"/>
    </xf>
    <xf numFmtId="3" fontId="19" fillId="0" borderId="17" xfId="0" applyNumberFormat="1" applyFont="1" applyBorder="1" applyAlignment="1">
      <alignment horizontal="center"/>
    </xf>
    <xf numFmtId="1" fontId="19" fillId="0" borderId="17" xfId="0" applyNumberFormat="1" applyFont="1" applyBorder="1" applyAlignment="1">
      <alignment horizontal="center"/>
    </xf>
    <xf numFmtId="166" fontId="19" fillId="0" borderId="17" xfId="0" applyNumberFormat="1" applyFont="1" applyBorder="1" applyAlignment="1">
      <alignment horizontal="center"/>
    </xf>
    <xf numFmtId="0" fontId="14" fillId="0" borderId="15" xfId="0" applyFont="1" applyBorder="1"/>
    <xf numFmtId="0" fontId="25" fillId="15" borderId="15" xfId="0" applyFont="1" applyFill="1" applyBorder="1" applyAlignment="1">
      <alignment horizontal="left" vertical="top"/>
    </xf>
    <xf numFmtId="0" fontId="12" fillId="15" borderId="15" xfId="0" applyFont="1" applyFill="1" applyBorder="1" applyAlignment="1">
      <alignment horizontal="left" vertical="top" wrapText="1"/>
    </xf>
    <xf numFmtId="0" fontId="12" fillId="4" borderId="18" xfId="0" applyFont="1" applyFill="1" applyBorder="1" applyAlignment="1">
      <alignment horizontal="center"/>
    </xf>
    <xf numFmtId="0" fontId="12" fillId="5" borderId="18" xfId="0" applyFont="1" applyFill="1" applyBorder="1" applyAlignment="1">
      <alignment horizontal="center"/>
    </xf>
    <xf numFmtId="0" fontId="12" fillId="15" borderId="13" xfId="0" applyFont="1" applyFill="1" applyBorder="1" applyAlignment="1">
      <alignment horizontal="left" vertical="top" wrapText="1"/>
    </xf>
    <xf numFmtId="166" fontId="12" fillId="15" borderId="15" xfId="0" applyNumberFormat="1" applyFont="1" applyFill="1" applyBorder="1" applyAlignment="1">
      <alignment horizontal="left" vertical="top" wrapText="1"/>
    </xf>
    <xf numFmtId="0" fontId="12" fillId="0" borderId="0" xfId="0" applyFont="1"/>
    <xf numFmtId="0" fontId="19" fillId="0" borderId="15" xfId="0" applyFont="1" applyBorder="1" applyAlignment="1">
      <alignment horizontal="left" vertical="top" wrapText="1"/>
    </xf>
    <xf numFmtId="0" fontId="19" fillId="4" borderId="18" xfId="0" applyFont="1" applyFill="1" applyBorder="1" applyAlignment="1">
      <alignment horizontal="center"/>
    </xf>
    <xf numFmtId="0" fontId="19" fillId="5" borderId="18" xfId="0" applyFont="1" applyFill="1" applyBorder="1" applyAlignment="1">
      <alignment horizontal="center"/>
    </xf>
    <xf numFmtId="0" fontId="32" fillId="6" borderId="17" xfId="0" applyFont="1" applyFill="1" applyBorder="1" applyAlignment="1">
      <alignment horizontal="left" wrapText="1"/>
    </xf>
    <xf numFmtId="0" fontId="32" fillId="0" borderId="0" xfId="0" applyFont="1" applyAlignment="1">
      <alignment horizontal="center"/>
    </xf>
    <xf numFmtId="0" fontId="31" fillId="0" borderId="22" xfId="0" applyFont="1" applyBorder="1" applyAlignment="1">
      <alignment horizontal="left" vertical="top"/>
    </xf>
    <xf numFmtId="0" fontId="31" fillId="0" borderId="18" xfId="0" applyFont="1" applyBorder="1" applyAlignment="1">
      <alignment horizontal="left" vertical="top"/>
    </xf>
    <xf numFmtId="0" fontId="19" fillId="0" borderId="23" xfId="0" applyFont="1" applyBorder="1"/>
    <xf numFmtId="0" fontId="14" fillId="0" borderId="0" xfId="0" applyFont="1" applyAlignment="1">
      <alignment wrapText="1"/>
    </xf>
    <xf numFmtId="0" fontId="32" fillId="6" borderId="18" xfId="0" applyFont="1" applyFill="1" applyBorder="1" applyAlignment="1">
      <alignment horizontal="left" wrapText="1"/>
    </xf>
    <xf numFmtId="0" fontId="31" fillId="2" borderId="19" xfId="0" applyFont="1" applyFill="1" applyBorder="1" applyAlignment="1">
      <alignment horizontal="left" vertical="top"/>
    </xf>
    <xf numFmtId="0" fontId="32" fillId="6" borderId="19" xfId="0" applyFont="1" applyFill="1" applyBorder="1" applyAlignment="1">
      <alignment horizontal="left" wrapText="1"/>
    </xf>
    <xf numFmtId="0" fontId="34" fillId="2" borderId="19" xfId="0" applyFont="1" applyFill="1" applyBorder="1" applyAlignment="1">
      <alignment horizontal="left" vertical="top"/>
    </xf>
    <xf numFmtId="0" fontId="15" fillId="4" borderId="19" xfId="0" applyFont="1" applyFill="1" applyBorder="1" applyAlignment="1">
      <alignment horizontal="center"/>
    </xf>
    <xf numFmtId="0" fontId="15" fillId="5" borderId="19" xfId="0" applyFont="1" applyFill="1" applyBorder="1" applyAlignment="1">
      <alignment horizontal="center"/>
    </xf>
    <xf numFmtId="0" fontId="8" fillId="6" borderId="19" xfId="0" applyFont="1" applyFill="1" applyBorder="1" applyAlignment="1">
      <alignment horizontal="left" wrapText="1"/>
    </xf>
    <xf numFmtId="0" fontId="15" fillId="0" borderId="0" xfId="0" applyFont="1"/>
    <xf numFmtId="0" fontId="35" fillId="0" borderId="0" xfId="0" applyFont="1" applyAlignment="1">
      <alignment wrapText="1"/>
    </xf>
    <xf numFmtId="0" fontId="35" fillId="0" borderId="0" xfId="0" applyFont="1"/>
    <xf numFmtId="0" fontId="25" fillId="15" borderId="19" xfId="0" applyFont="1" applyFill="1" applyBorder="1" applyAlignment="1">
      <alignment horizontal="left" vertical="top"/>
    </xf>
    <xf numFmtId="0" fontId="12" fillId="4" borderId="19" xfId="0" applyFont="1" applyFill="1" applyBorder="1" applyAlignment="1">
      <alignment horizontal="center"/>
    </xf>
    <xf numFmtId="0" fontId="12" fillId="5" borderId="19" xfId="0" applyFont="1" applyFill="1" applyBorder="1" applyAlignment="1">
      <alignment horizontal="center"/>
    </xf>
    <xf numFmtId="0" fontId="12" fillId="15" borderId="19" xfId="0" applyFont="1" applyFill="1" applyBorder="1" applyAlignment="1">
      <alignment horizontal="left" vertical="top" wrapText="1"/>
    </xf>
    <xf numFmtId="0" fontId="12" fillId="15" borderId="18" xfId="0" applyFont="1" applyFill="1" applyBorder="1" applyAlignment="1">
      <alignment horizontal="left" vertical="top" wrapText="1"/>
    </xf>
    <xf numFmtId="0" fontId="0" fillId="0" borderId="0" xfId="0" applyAlignment="1">
      <alignment wrapText="1"/>
    </xf>
    <xf numFmtId="0" fontId="31" fillId="0" borderId="15" xfId="0" applyFont="1" applyBorder="1" applyAlignment="1">
      <alignment vertical="top"/>
    </xf>
    <xf numFmtId="0" fontId="36" fillId="2" borderId="0" xfId="0" applyFont="1" applyFill="1" applyAlignment="1">
      <alignment vertical="top"/>
    </xf>
    <xf numFmtId="0" fontId="37" fillId="0" borderId="15" xfId="0" applyFont="1" applyBorder="1" applyAlignment="1">
      <alignment wrapText="1"/>
    </xf>
    <xf numFmtId="0" fontId="3" fillId="4" borderId="15" xfId="0" applyFont="1" applyFill="1" applyBorder="1"/>
    <xf numFmtId="0" fontId="3" fillId="5" borderId="15" xfId="0" applyFont="1" applyFill="1" applyBorder="1"/>
    <xf numFmtId="0" fontId="38" fillId="6" borderId="15" xfId="0" applyFont="1" applyFill="1" applyBorder="1" applyAlignment="1">
      <alignment wrapText="1"/>
    </xf>
    <xf numFmtId="0" fontId="38" fillId="0" borderId="15" xfId="0" applyFont="1" applyBorder="1" applyAlignment="1">
      <alignment horizontal="center"/>
    </xf>
    <xf numFmtId="0" fontId="39" fillId="0" borderId="15" xfId="0" applyFont="1" applyBorder="1" applyAlignment="1">
      <alignment wrapText="1"/>
    </xf>
    <xf numFmtId="0" fontId="3" fillId="0" borderId="15" xfId="0" applyFont="1" applyBorder="1"/>
    <xf numFmtId="3" fontId="3" fillId="0" borderId="15" xfId="0" applyNumberFormat="1" applyFont="1" applyBorder="1"/>
    <xf numFmtId="3" fontId="39" fillId="0" borderId="15" xfId="0" applyNumberFormat="1" applyFont="1" applyBorder="1" applyAlignment="1">
      <alignment horizontal="center"/>
    </xf>
    <xf numFmtId="1" fontId="39" fillId="0" borderId="15" xfId="0" applyNumberFormat="1" applyFont="1" applyBorder="1" applyAlignment="1">
      <alignment horizontal="center"/>
    </xf>
    <xf numFmtId="166" fontId="39" fillId="0" borderId="15" xfId="0" applyNumberFormat="1" applyFont="1" applyBorder="1" applyAlignment="1">
      <alignment horizontal="center"/>
    </xf>
    <xf numFmtId="166" fontId="39" fillId="0" borderId="15" xfId="0" applyNumberFormat="1" applyFont="1" applyBorder="1" applyAlignment="1">
      <alignment wrapText="1"/>
    </xf>
    <xf numFmtId="0" fontId="38" fillId="6" borderId="20" xfId="0" applyFont="1" applyFill="1" applyBorder="1" applyAlignment="1">
      <alignment wrapText="1"/>
    </xf>
    <xf numFmtId="0" fontId="28" fillId="2" borderId="15" xfId="0" applyFont="1" applyFill="1" applyBorder="1" applyAlignment="1">
      <alignment vertical="top"/>
    </xf>
    <xf numFmtId="0" fontId="40" fillId="0" borderId="15" xfId="0" applyFont="1" applyBorder="1" applyAlignment="1">
      <alignment horizontal="left" wrapText="1"/>
    </xf>
    <xf numFmtId="0" fontId="0" fillId="4" borderId="15" xfId="0" applyFill="1" applyBorder="1" applyAlignment="1">
      <alignment horizontal="center"/>
    </xf>
    <xf numFmtId="0" fontId="0" fillId="5" borderId="15" xfId="0" applyFill="1" applyBorder="1" applyAlignment="1">
      <alignment horizontal="center"/>
    </xf>
    <xf numFmtId="0" fontId="11" fillId="2" borderId="24" xfId="0" applyFont="1" applyFill="1" applyBorder="1" applyAlignment="1">
      <alignment horizontal="left"/>
    </xf>
    <xf numFmtId="0" fontId="11" fillId="0" borderId="15" xfId="0" applyFont="1" applyBorder="1" applyAlignment="1">
      <alignment horizontal="center"/>
    </xf>
    <xf numFmtId="0" fontId="12" fillId="0" borderId="15" xfId="0" applyFont="1" applyBorder="1" applyAlignment="1">
      <alignment horizontal="left" wrapText="1"/>
    </xf>
    <xf numFmtId="0" fontId="12" fillId="0" borderId="15" xfId="0" applyFont="1" applyBorder="1"/>
    <xf numFmtId="3" fontId="12" fillId="0" borderId="15" xfId="0" applyNumberFormat="1" applyFont="1" applyBorder="1" applyAlignment="1">
      <alignment horizontal="center"/>
    </xf>
    <xf numFmtId="0" fontId="12" fillId="0" borderId="15" xfId="0" applyFont="1" applyBorder="1" applyAlignment="1">
      <alignment horizontal="center"/>
    </xf>
    <xf numFmtId="1" fontId="12" fillId="0" borderId="15" xfId="0" applyNumberFormat="1" applyFont="1" applyBorder="1" applyAlignment="1">
      <alignment horizontal="center"/>
    </xf>
    <xf numFmtId="166" fontId="12" fillId="0" borderId="15" xfId="0" applyNumberFormat="1" applyFont="1" applyBorder="1" applyAlignment="1">
      <alignment horizontal="center"/>
    </xf>
    <xf numFmtId="0" fontId="3" fillId="0" borderId="0" xfId="0" applyFont="1" applyAlignment="1">
      <alignment wrapText="1"/>
    </xf>
    <xf numFmtId="0" fontId="13" fillId="2" borderId="15" xfId="0" applyFont="1" applyFill="1" applyBorder="1" applyAlignment="1">
      <alignment vertical="top"/>
    </xf>
    <xf numFmtId="0" fontId="12" fillId="4" borderId="15" xfId="0" applyFont="1" applyFill="1" applyBorder="1" applyAlignment="1">
      <alignment horizontal="center"/>
    </xf>
    <xf numFmtId="0" fontId="12" fillId="5" borderId="15" xfId="0" applyFont="1" applyFill="1" applyBorder="1" applyAlignment="1">
      <alignment horizontal="center"/>
    </xf>
    <xf numFmtId="0" fontId="11" fillId="6" borderId="15" xfId="0" applyFont="1" applyFill="1" applyBorder="1" applyAlignment="1">
      <alignment horizontal="left" wrapText="1"/>
    </xf>
    <xf numFmtId="0" fontId="11" fillId="0" borderId="15" xfId="0" applyFont="1" applyBorder="1" applyAlignment="1">
      <alignment horizontal="center" wrapText="1"/>
    </xf>
    <xf numFmtId="0" fontId="12" fillId="0" borderId="15" xfId="0" applyFont="1" applyBorder="1" applyAlignment="1">
      <alignment wrapText="1"/>
    </xf>
    <xf numFmtId="168" fontId="12" fillId="0" borderId="15" xfId="0" applyNumberFormat="1" applyFont="1" applyBorder="1" applyAlignment="1">
      <alignment horizontal="center"/>
    </xf>
    <xf numFmtId="0" fontId="12" fillId="0" borderId="16" xfId="0" applyFont="1" applyBorder="1" applyAlignment="1">
      <alignment wrapText="1"/>
    </xf>
    <xf numFmtId="0" fontId="39" fillId="0" borderId="0" xfId="0" applyFont="1"/>
    <xf numFmtId="0" fontId="41" fillId="0" borderId="0" xfId="0" applyFont="1"/>
    <xf numFmtId="168" fontId="19" fillId="0" borderId="16" xfId="0" applyNumberFormat="1" applyFont="1" applyBorder="1" applyAlignment="1">
      <alignment horizontal="center"/>
    </xf>
    <xf numFmtId="0" fontId="32" fillId="0" borderId="17" xfId="0" applyFont="1" applyBorder="1" applyAlignment="1">
      <alignment horizontal="center" wrapText="1"/>
    </xf>
    <xf numFmtId="166" fontId="19" fillId="0" borderId="15" xfId="0" applyNumberFormat="1" applyFont="1" applyBorder="1" applyAlignment="1">
      <alignment wrapText="1"/>
    </xf>
    <xf numFmtId="0" fontId="25" fillId="0" borderId="15" xfId="0" applyFont="1" applyBorder="1" applyAlignment="1">
      <alignment horizontal="left" vertical="top"/>
    </xf>
    <xf numFmtId="0" fontId="11" fillId="0" borderId="17" xfId="0" applyFont="1" applyBorder="1" applyAlignment="1">
      <alignment horizontal="center" wrapText="1"/>
    </xf>
    <xf numFmtId="166" fontId="12" fillId="0" borderId="15" xfId="0" applyNumberFormat="1" applyFont="1" applyBorder="1" applyAlignment="1">
      <alignment wrapText="1"/>
    </xf>
    <xf numFmtId="0" fontId="12" fillId="0" borderId="15" xfId="0" applyFont="1" applyBorder="1" applyAlignment="1">
      <alignment horizontal="left"/>
    </xf>
    <xf numFmtId="0" fontId="12" fillId="4" borderId="12" xfId="0" applyFont="1" applyFill="1" applyBorder="1" applyAlignment="1">
      <alignment horizontal="center"/>
    </xf>
    <xf numFmtId="0" fontId="12" fillId="5" borderId="12" xfId="0" applyFont="1" applyFill="1" applyBorder="1" applyAlignment="1">
      <alignment horizontal="center"/>
    </xf>
    <xf numFmtId="0" fontId="11" fillId="2" borderId="24" xfId="0" applyFont="1" applyFill="1" applyBorder="1" applyAlignment="1">
      <alignment horizontal="left" wrapText="1"/>
    </xf>
    <xf numFmtId="0" fontId="12" fillId="0" borderId="20" xfId="0" applyFont="1" applyBorder="1" applyAlignment="1">
      <alignment horizontal="left" wrapText="1"/>
    </xf>
    <xf numFmtId="0" fontId="12" fillId="16" borderId="15" xfId="0" applyFont="1" applyFill="1" applyBorder="1" applyAlignment="1">
      <alignment horizontal="left" vertical="top" wrapText="1"/>
    </xf>
    <xf numFmtId="0" fontId="12" fillId="15" borderId="15" xfId="0" applyFont="1" applyFill="1" applyBorder="1" applyAlignment="1">
      <alignment horizontal="left"/>
    </xf>
    <xf numFmtId="3" fontId="12" fillId="15" borderId="15" xfId="0" applyNumberFormat="1" applyFont="1" applyFill="1" applyBorder="1" applyAlignment="1">
      <alignment horizontal="center"/>
    </xf>
    <xf numFmtId="1" fontId="12" fillId="15" borderId="15" xfId="0" applyNumberFormat="1" applyFont="1" applyFill="1" applyBorder="1" applyAlignment="1">
      <alignment horizontal="center"/>
    </xf>
    <xf numFmtId="166" fontId="12" fillId="15" borderId="15" xfId="0" applyNumberFormat="1" applyFont="1" applyFill="1" applyBorder="1" applyAlignment="1">
      <alignment horizontal="center"/>
    </xf>
    <xf numFmtId="0" fontId="25" fillId="2" borderId="15" xfId="0" applyFont="1" applyFill="1" applyBorder="1" applyAlignment="1">
      <alignment horizontal="left" vertical="top"/>
    </xf>
    <xf numFmtId="166" fontId="12" fillId="0" borderId="18" xfId="0" applyNumberFormat="1" applyFont="1" applyBorder="1" applyAlignment="1">
      <alignment horizontal="center"/>
    </xf>
    <xf numFmtId="0" fontId="12" fillId="0" borderId="15" xfId="0" applyFont="1" applyBorder="1" applyAlignment="1">
      <alignment horizontal="center" wrapText="1"/>
    </xf>
    <xf numFmtId="0" fontId="31" fillId="2" borderId="15" xfId="0" applyFont="1" applyFill="1" applyBorder="1" applyAlignment="1">
      <alignment horizontal="left" vertical="top"/>
    </xf>
    <xf numFmtId="0" fontId="19" fillId="0" borderId="18" xfId="0" applyFont="1" applyBorder="1" applyAlignment="1">
      <alignment horizontal="left"/>
    </xf>
    <xf numFmtId="166" fontId="19" fillId="0" borderId="18" xfId="0" applyNumberFormat="1" applyFont="1" applyBorder="1" applyAlignment="1">
      <alignment horizontal="center"/>
    </xf>
    <xf numFmtId="0" fontId="19" fillId="0" borderId="15" xfId="0" applyFont="1" applyBorder="1" applyAlignment="1">
      <alignment horizontal="center" wrapText="1"/>
    </xf>
    <xf numFmtId="0" fontId="19" fillId="6" borderId="15" xfId="0" applyFont="1" applyFill="1" applyBorder="1" applyAlignment="1">
      <alignment horizontal="left" wrapText="1"/>
    </xf>
    <xf numFmtId="0" fontId="11" fillId="15" borderId="15" xfId="0" applyFont="1" applyFill="1" applyBorder="1" applyAlignment="1">
      <alignment horizontal="left"/>
    </xf>
    <xf numFmtId="0" fontId="12" fillId="15" borderId="19" xfId="0" applyFont="1" applyFill="1" applyBorder="1" applyAlignment="1">
      <alignment horizontal="left"/>
    </xf>
    <xf numFmtId="0" fontId="12" fillId="15" borderId="25" xfId="0" applyFont="1" applyFill="1" applyBorder="1" applyAlignment="1">
      <alignment horizontal="center"/>
    </xf>
    <xf numFmtId="0" fontId="39" fillId="0" borderId="23" xfId="0" applyFont="1" applyBorder="1"/>
    <xf numFmtId="0" fontId="32" fillId="6" borderId="15" xfId="0" applyFont="1" applyFill="1" applyBorder="1"/>
    <xf numFmtId="0" fontId="19" fillId="0" borderId="18" xfId="0" applyFont="1" applyBorder="1" applyAlignment="1">
      <alignment horizontal="center"/>
    </xf>
    <xf numFmtId="0" fontId="19" fillId="0" borderId="26" xfId="0" applyFont="1" applyBorder="1" applyAlignment="1">
      <alignment horizontal="left" wrapText="1"/>
    </xf>
    <xf numFmtId="3" fontId="32" fillId="0" borderId="15" xfId="0" applyNumberFormat="1" applyFont="1" applyBorder="1" applyAlignment="1">
      <alignment horizontal="center"/>
    </xf>
    <xf numFmtId="0" fontId="19" fillId="0" borderId="15" xfId="0" applyFont="1" applyBorder="1" applyAlignment="1">
      <alignment horizontal="left"/>
    </xf>
    <xf numFmtId="0" fontId="19" fillId="0" borderId="25" xfId="0" applyFont="1" applyBorder="1" applyAlignment="1">
      <alignment horizontal="left" wrapText="1"/>
    </xf>
    <xf numFmtId="0" fontId="32" fillId="6" borderId="15" xfId="0" applyFont="1" applyFill="1" applyBorder="1" applyAlignment="1">
      <alignment horizontal="left"/>
    </xf>
    <xf numFmtId="166" fontId="19" fillId="0" borderId="15" xfId="0" applyNumberFormat="1" applyFont="1" applyBorder="1" applyAlignment="1">
      <alignment horizontal="center" wrapText="1"/>
    </xf>
    <xf numFmtId="0" fontId="42" fillId="0" borderId="15" xfId="0" applyFont="1" applyBorder="1" applyAlignment="1">
      <alignment horizontal="left"/>
    </xf>
    <xf numFmtId="0" fontId="19" fillId="0" borderId="18" xfId="0" applyFont="1" applyBorder="1" applyAlignment="1">
      <alignment horizontal="left" wrapText="1"/>
    </xf>
    <xf numFmtId="0" fontId="19" fillId="0" borderId="26" xfId="0" applyFont="1" applyBorder="1" applyAlignment="1">
      <alignment horizontal="left"/>
    </xf>
    <xf numFmtId="1" fontId="19" fillId="0" borderId="18" xfId="0" applyNumberFormat="1" applyFont="1" applyBorder="1" applyAlignment="1">
      <alignment horizontal="center"/>
    </xf>
    <xf numFmtId="0" fontId="19" fillId="0" borderId="20" xfId="0" applyFont="1" applyBorder="1" applyAlignment="1">
      <alignment horizontal="left" wrapText="1"/>
    </xf>
    <xf numFmtId="0" fontId="43" fillId="6" borderId="15" xfId="0" applyFont="1" applyFill="1" applyBorder="1" applyAlignment="1">
      <alignment horizontal="center"/>
    </xf>
    <xf numFmtId="1" fontId="19" fillId="0" borderId="15" xfId="0" applyNumberFormat="1" applyFont="1" applyBorder="1" applyAlignment="1">
      <alignment horizontal="center" wrapText="1"/>
    </xf>
    <xf numFmtId="1" fontId="19" fillId="0" borderId="15" xfId="0" applyNumberFormat="1" applyFont="1" applyBorder="1" applyAlignment="1">
      <alignment wrapText="1"/>
    </xf>
    <xf numFmtId="0" fontId="12" fillId="0" borderId="23" xfId="0" applyFont="1" applyBorder="1" applyAlignment="1">
      <alignment wrapText="1"/>
    </xf>
    <xf numFmtId="0" fontId="12" fillId="0" borderId="0" xfId="0" applyFont="1" applyAlignment="1">
      <alignment wrapText="1"/>
    </xf>
    <xf numFmtId="0" fontId="32" fillId="0" borderId="15" xfId="0" applyFont="1" applyBorder="1" applyAlignment="1">
      <alignment horizontal="left" wrapText="1"/>
    </xf>
    <xf numFmtId="0" fontId="19" fillId="0" borderId="20" xfId="0" applyFont="1" applyBorder="1" applyAlignment="1">
      <alignment horizontal="center" wrapText="1"/>
    </xf>
    <xf numFmtId="0" fontId="43" fillId="6" borderId="15" xfId="0" applyFont="1" applyFill="1" applyBorder="1" applyAlignment="1">
      <alignment horizontal="left" wrapText="1"/>
    </xf>
    <xf numFmtId="0" fontId="32" fillId="5" borderId="15" xfId="0" applyFont="1" applyFill="1" applyBorder="1" applyAlignment="1">
      <alignment horizontal="left"/>
    </xf>
    <xf numFmtId="1" fontId="19" fillId="0" borderId="15" xfId="0" applyNumberFormat="1" applyFont="1" applyBorder="1"/>
    <xf numFmtId="168" fontId="19" fillId="0" borderId="15" xfId="0" applyNumberFormat="1" applyFont="1" applyBorder="1"/>
    <xf numFmtId="166" fontId="32" fillId="0" borderId="15" xfId="0" applyNumberFormat="1" applyFont="1" applyBorder="1" applyAlignment="1">
      <alignment wrapText="1"/>
    </xf>
    <xf numFmtId="0" fontId="31" fillId="15" borderId="15" xfId="0" applyFont="1" applyFill="1" applyBorder="1" applyAlignment="1">
      <alignment horizontal="left" vertical="top"/>
    </xf>
    <xf numFmtId="0" fontId="19" fillId="15" borderId="15" xfId="0" applyFont="1" applyFill="1" applyBorder="1" applyAlignment="1">
      <alignment horizontal="left" vertical="top" wrapText="1"/>
    </xf>
    <xf numFmtId="0" fontId="32" fillId="15" borderId="19" xfId="0" applyFont="1" applyFill="1" applyBorder="1" applyAlignment="1">
      <alignment horizontal="center"/>
    </xf>
    <xf numFmtId="0" fontId="19" fillId="15" borderId="19" xfId="0" applyFont="1" applyFill="1" applyBorder="1" applyAlignment="1">
      <alignment horizontal="left"/>
    </xf>
    <xf numFmtId="3" fontId="19" fillId="15" borderId="15" xfId="0" applyNumberFormat="1" applyFont="1" applyFill="1" applyBorder="1" applyAlignment="1">
      <alignment horizontal="center"/>
    </xf>
    <xf numFmtId="0" fontId="19" fillId="15" borderId="15" xfId="0" applyFont="1" applyFill="1" applyBorder="1" applyAlignment="1">
      <alignment horizontal="center"/>
    </xf>
    <xf numFmtId="1" fontId="19" fillId="15" borderId="19" xfId="0" applyNumberFormat="1" applyFont="1" applyFill="1" applyBorder="1" applyAlignment="1">
      <alignment horizontal="center"/>
    </xf>
    <xf numFmtId="166" fontId="19" fillId="15" borderId="19" xfId="0" applyNumberFormat="1" applyFont="1" applyFill="1" applyBorder="1" applyAlignment="1">
      <alignment horizontal="center"/>
    </xf>
    <xf numFmtId="0" fontId="19" fillId="15" borderId="19" xfId="0" applyFont="1" applyFill="1" applyBorder="1" applyAlignment="1">
      <alignment horizontal="center"/>
    </xf>
    <xf numFmtId="0" fontId="19" fillId="0" borderId="18" xfId="0" applyFont="1" applyBorder="1" applyAlignment="1">
      <alignment horizontal="center" wrapText="1"/>
    </xf>
    <xf numFmtId="0" fontId="12" fillId="2" borderId="0" xfId="0" applyFont="1" applyFill="1" applyAlignment="1">
      <alignment horizontal="center" wrapText="1"/>
    </xf>
    <xf numFmtId="0" fontId="19" fillId="0" borderId="18" xfId="0" applyFont="1" applyBorder="1" applyAlignment="1">
      <alignment wrapText="1"/>
    </xf>
    <xf numFmtId="3" fontId="19" fillId="0" borderId="15" xfId="0" applyNumberFormat="1" applyFont="1" applyBorder="1" applyAlignment="1">
      <alignment wrapText="1"/>
    </xf>
    <xf numFmtId="3" fontId="19" fillId="0" borderId="16" xfId="0" applyNumberFormat="1" applyFont="1" applyBorder="1" applyAlignment="1">
      <alignment horizontal="center" wrapText="1"/>
    </xf>
    <xf numFmtId="3" fontId="19" fillId="0" borderId="20" xfId="0" applyNumberFormat="1" applyFont="1" applyBorder="1" applyAlignment="1">
      <alignment horizontal="center"/>
    </xf>
    <xf numFmtId="3" fontId="19" fillId="0" borderId="16" xfId="0" applyNumberFormat="1" applyFont="1" applyBorder="1" applyAlignment="1">
      <alignment horizontal="center"/>
    </xf>
    <xf numFmtId="166" fontId="19" fillId="0" borderId="16" xfId="0" applyNumberFormat="1" applyFont="1" applyBorder="1" applyAlignment="1">
      <alignment wrapText="1"/>
    </xf>
    <xf numFmtId="0" fontId="32" fillId="15" borderId="15" xfId="0" applyFont="1" applyFill="1" applyBorder="1" applyAlignment="1">
      <alignment horizontal="left" vertical="top" wrapText="1"/>
    </xf>
    <xf numFmtId="0" fontId="32" fillId="15" borderId="15" xfId="0" applyFont="1" applyFill="1" applyBorder="1" applyAlignment="1">
      <alignment horizontal="center"/>
    </xf>
    <xf numFmtId="0" fontId="19" fillId="15" borderId="18" xfId="0" applyFont="1" applyFill="1" applyBorder="1" applyAlignment="1">
      <alignment horizontal="left"/>
    </xf>
    <xf numFmtId="0" fontId="19" fillId="0" borderId="22" xfId="0" applyFont="1" applyBorder="1" applyAlignment="1">
      <alignment wrapText="1"/>
    </xf>
    <xf numFmtId="0" fontId="19" fillId="6" borderId="22" xfId="0" applyFont="1" applyFill="1" applyBorder="1"/>
    <xf numFmtId="0" fontId="19" fillId="6" borderId="18" xfId="0" applyFont="1" applyFill="1" applyBorder="1" applyAlignment="1">
      <alignment horizontal="left" wrapText="1"/>
    </xf>
    <xf numFmtId="0" fontId="32" fillId="6" borderId="18" xfId="0" applyFont="1" applyFill="1" applyBorder="1" applyAlignment="1">
      <alignment horizontal="center"/>
    </xf>
    <xf numFmtId="1" fontId="19" fillId="0" borderId="20" xfId="0" applyNumberFormat="1" applyFont="1" applyBorder="1" applyAlignment="1">
      <alignment horizontal="center"/>
    </xf>
    <xf numFmtId="166" fontId="19" fillId="0" borderId="20" xfId="0" applyNumberFormat="1" applyFont="1" applyBorder="1" applyAlignment="1">
      <alignment horizontal="center"/>
    </xf>
    <xf numFmtId="0" fontId="19" fillId="15" borderId="15" xfId="0" applyFont="1" applyFill="1" applyBorder="1" applyAlignment="1">
      <alignment horizontal="left"/>
    </xf>
    <xf numFmtId="1" fontId="19" fillId="15" borderId="15" xfId="0" applyNumberFormat="1" applyFont="1" applyFill="1" applyBorder="1" applyAlignment="1">
      <alignment horizontal="center"/>
    </xf>
    <xf numFmtId="166" fontId="19" fillId="15" borderId="15" xfId="0" applyNumberFormat="1" applyFont="1" applyFill="1" applyBorder="1" applyAlignment="1">
      <alignment horizontal="center"/>
    </xf>
    <xf numFmtId="0" fontId="19" fillId="15" borderId="12" xfId="0" applyFont="1" applyFill="1" applyBorder="1" applyAlignment="1">
      <alignment horizontal="center"/>
    </xf>
    <xf numFmtId="0" fontId="32" fillId="6" borderId="20" xfId="0" applyFont="1" applyFill="1" applyBorder="1" applyAlignment="1">
      <alignment wrapText="1"/>
    </xf>
    <xf numFmtId="0" fontId="32" fillId="0" borderId="15" xfId="0" applyFont="1" applyBorder="1" applyAlignment="1">
      <alignment wrapText="1"/>
    </xf>
    <xf numFmtId="0" fontId="19" fillId="0" borderId="25" xfId="0" applyFont="1" applyBorder="1" applyAlignment="1">
      <alignment wrapText="1"/>
    </xf>
    <xf numFmtId="0" fontId="44" fillId="2" borderId="15" xfId="0" applyFont="1" applyFill="1" applyBorder="1" applyAlignment="1">
      <alignment vertical="top"/>
    </xf>
    <xf numFmtId="0" fontId="19" fillId="6" borderId="15" xfId="0" applyFont="1" applyFill="1" applyBorder="1"/>
    <xf numFmtId="0" fontId="19" fillId="0" borderId="15" xfId="0" quotePrefix="1" applyFont="1" applyBorder="1"/>
    <xf numFmtId="0" fontId="19" fillId="4" borderId="20" xfId="0" applyFont="1" applyFill="1" applyBorder="1"/>
    <xf numFmtId="0" fontId="19" fillId="5" borderId="20" xfId="0" applyFont="1" applyFill="1" applyBorder="1"/>
    <xf numFmtId="0" fontId="19" fillId="0" borderId="20" xfId="0" applyFont="1" applyBorder="1"/>
    <xf numFmtId="0" fontId="32" fillId="0" borderId="20" xfId="0" applyFont="1" applyBorder="1" applyAlignment="1">
      <alignment wrapText="1"/>
    </xf>
    <xf numFmtId="0" fontId="32" fillId="0" borderId="20" xfId="0" applyFont="1" applyBorder="1" applyAlignment="1">
      <alignment horizontal="center"/>
    </xf>
    <xf numFmtId="168" fontId="19" fillId="0" borderId="20" xfId="0" applyNumberFormat="1" applyFont="1" applyBorder="1" applyAlignment="1">
      <alignment horizontal="center"/>
    </xf>
    <xf numFmtId="0" fontId="19" fillId="0" borderId="20" xfId="0" applyFont="1" applyBorder="1" applyAlignment="1">
      <alignment wrapText="1"/>
    </xf>
    <xf numFmtId="0" fontId="19" fillId="6" borderId="20" xfId="0" applyFont="1" applyFill="1" applyBorder="1"/>
    <xf numFmtId="0" fontId="31" fillId="2" borderId="17" xfId="0" applyFont="1" applyFill="1" applyBorder="1" applyAlignment="1">
      <alignment horizontal="left" vertical="top"/>
    </xf>
    <xf numFmtId="0" fontId="19" fillId="0" borderId="18" xfId="0" applyFont="1" applyBorder="1"/>
    <xf numFmtId="0" fontId="19" fillId="0" borderId="20" xfId="0" applyFont="1" applyBorder="1" applyAlignment="1">
      <alignment horizontal="center"/>
    </xf>
    <xf numFmtId="168" fontId="19" fillId="0" borderId="15" xfId="0" applyNumberFormat="1" applyFont="1" applyBorder="1" applyAlignment="1">
      <alignment horizontal="center" wrapText="1"/>
    </xf>
    <xf numFmtId="0" fontId="45" fillId="0" borderId="15" xfId="0" applyFont="1" applyBorder="1" applyAlignment="1">
      <alignment horizontal="center"/>
    </xf>
    <xf numFmtId="0" fontId="19" fillId="0" borderId="18" xfId="0" applyFont="1" applyBorder="1" applyAlignment="1">
      <alignment vertical="center" wrapText="1"/>
    </xf>
    <xf numFmtId="0" fontId="45" fillId="0" borderId="18" xfId="0" applyFont="1" applyBorder="1" applyAlignment="1">
      <alignment horizontal="center"/>
    </xf>
    <xf numFmtId="0" fontId="32" fillId="6" borderId="27" xfId="0" applyFont="1" applyFill="1" applyBorder="1" applyAlignment="1">
      <alignment horizontal="left" wrapText="1"/>
    </xf>
    <xf numFmtId="0" fontId="32" fillId="0" borderId="16" xfId="0" applyFont="1" applyBorder="1" applyAlignment="1">
      <alignment horizontal="center"/>
    </xf>
    <xf numFmtId="0" fontId="19" fillId="0" borderId="16" xfId="0" applyFont="1" applyBorder="1"/>
    <xf numFmtId="1" fontId="19" fillId="0" borderId="16" xfId="0" applyNumberFormat="1" applyFont="1" applyBorder="1"/>
    <xf numFmtId="166" fontId="19" fillId="0" borderId="16" xfId="0" applyNumberFormat="1" applyFont="1" applyBorder="1"/>
    <xf numFmtId="0" fontId="32" fillId="6" borderId="16" xfId="0" applyFont="1" applyFill="1" applyBorder="1" applyAlignment="1">
      <alignment wrapText="1"/>
    </xf>
    <xf numFmtId="3" fontId="32" fillId="0" borderId="20" xfId="0" applyNumberFormat="1" applyFont="1" applyBorder="1" applyAlignment="1">
      <alignment wrapText="1"/>
    </xf>
    <xf numFmtId="0" fontId="44" fillId="0" borderId="15" xfId="0" applyFont="1" applyBorder="1" applyAlignment="1">
      <alignment vertical="top"/>
    </xf>
    <xf numFmtId="3" fontId="32" fillId="0" borderId="15" xfId="0" applyNumberFormat="1" applyFont="1" applyBorder="1" applyAlignment="1">
      <alignment wrapText="1"/>
    </xf>
    <xf numFmtId="3" fontId="19" fillId="0" borderId="20" xfId="0" applyNumberFormat="1" applyFont="1" applyBorder="1" applyAlignment="1">
      <alignment wrapText="1"/>
    </xf>
    <xf numFmtId="0" fontId="17" fillId="6" borderId="20" xfId="0" applyFont="1" applyFill="1" applyBorder="1" applyAlignment="1">
      <alignment wrapText="1"/>
    </xf>
    <xf numFmtId="0" fontId="8" fillId="0" borderId="20" xfId="0" applyFont="1" applyBorder="1" applyAlignment="1">
      <alignment wrapText="1"/>
    </xf>
    <xf numFmtId="3" fontId="19" fillId="0" borderId="16" xfId="0" applyNumberFormat="1" applyFont="1" applyBorder="1"/>
    <xf numFmtId="0" fontId="19" fillId="0" borderId="16" xfId="0" applyFont="1" applyBorder="1" applyAlignment="1">
      <alignment horizontal="center"/>
    </xf>
    <xf numFmtId="1" fontId="19" fillId="0" borderId="16" xfId="0" applyNumberFormat="1" applyFont="1" applyBorder="1" applyAlignment="1">
      <alignment horizontal="center"/>
    </xf>
    <xf numFmtId="166" fontId="19" fillId="0" borderId="16" xfId="0" applyNumberFormat="1" applyFont="1" applyBorder="1" applyAlignment="1">
      <alignment horizontal="center"/>
    </xf>
    <xf numFmtId="0" fontId="46" fillId="0" borderId="20" xfId="0" applyFont="1" applyBorder="1" applyAlignment="1">
      <alignment wrapText="1"/>
    </xf>
    <xf numFmtId="3" fontId="19" fillId="0" borderId="20" xfId="0" applyNumberFormat="1" applyFont="1" applyBorder="1"/>
    <xf numFmtId="3" fontId="19" fillId="0" borderId="15" xfId="0" applyNumberFormat="1" applyFont="1" applyBorder="1" applyAlignment="1">
      <alignment horizontal="center" wrapText="1"/>
    </xf>
    <xf numFmtId="0" fontId="47" fillId="6" borderId="15" xfId="0" applyFont="1" applyFill="1" applyBorder="1" applyAlignment="1">
      <alignment wrapText="1"/>
    </xf>
    <xf numFmtId="0" fontId="31" fillId="15" borderId="19" xfId="0" applyFont="1" applyFill="1" applyBorder="1" applyAlignment="1">
      <alignment horizontal="left" vertical="top"/>
    </xf>
    <xf numFmtId="0" fontId="19" fillId="15" borderId="15" xfId="0" applyFont="1" applyFill="1" applyBorder="1" applyAlignment="1">
      <alignment horizontal="left" vertical="top"/>
    </xf>
    <xf numFmtId="166" fontId="19" fillId="0" borderId="15" xfId="0" applyNumberFormat="1" applyFont="1" applyBorder="1"/>
    <xf numFmtId="0" fontId="19" fillId="4" borderId="16" xfId="0" applyFont="1" applyFill="1" applyBorder="1"/>
    <xf numFmtId="0" fontId="19" fillId="5" borderId="16" xfId="0" applyFont="1" applyFill="1" applyBorder="1"/>
    <xf numFmtId="0" fontId="19" fillId="0" borderId="16" xfId="0" applyFont="1" applyBorder="1" applyAlignment="1">
      <alignment horizontal="center" wrapText="1"/>
    </xf>
    <xf numFmtId="0" fontId="32" fillId="15" borderId="28" xfId="0" applyFont="1" applyFill="1" applyBorder="1" applyAlignment="1">
      <alignment horizontal="left" vertical="top" wrapText="1"/>
    </xf>
    <xf numFmtId="1" fontId="32" fillId="15" borderId="15" xfId="0" applyNumberFormat="1" applyFont="1" applyFill="1" applyBorder="1" applyAlignment="1">
      <alignment horizontal="left" vertical="top" wrapText="1"/>
    </xf>
    <xf numFmtId="166" fontId="32" fillId="15" borderId="15" xfId="0" applyNumberFormat="1" applyFont="1" applyFill="1" applyBorder="1" applyAlignment="1">
      <alignment horizontal="center"/>
    </xf>
    <xf numFmtId="0" fontId="31" fillId="17" borderId="15" xfId="0" applyFont="1" applyFill="1" applyBorder="1" applyAlignment="1">
      <alignment horizontal="left" vertical="top"/>
    </xf>
    <xf numFmtId="0" fontId="19" fillId="17" borderId="15" xfId="0" applyFont="1" applyFill="1" applyBorder="1" applyAlignment="1">
      <alignment horizontal="left" vertical="top" wrapText="1"/>
    </xf>
    <xf numFmtId="0" fontId="19" fillId="15" borderId="28" xfId="0" applyFont="1" applyFill="1" applyBorder="1" applyAlignment="1">
      <alignment horizontal="left"/>
    </xf>
    <xf numFmtId="0" fontId="32" fillId="2" borderId="0" xfId="0" applyFont="1" applyFill="1" applyAlignment="1">
      <alignment wrapText="1"/>
    </xf>
    <xf numFmtId="0" fontId="31" fillId="17" borderId="13" xfId="0" applyFont="1" applyFill="1" applyBorder="1" applyAlignment="1">
      <alignment horizontal="left" vertical="top"/>
    </xf>
    <xf numFmtId="0" fontId="12" fillId="0" borderId="23" xfId="0" applyFont="1" applyBorder="1"/>
    <xf numFmtId="0" fontId="31" fillId="17" borderId="17" xfId="0" applyFont="1" applyFill="1" applyBorder="1" applyAlignment="1">
      <alignment horizontal="left" vertical="top"/>
    </xf>
    <xf numFmtId="0" fontId="19" fillId="17" borderId="0" xfId="0" applyFont="1" applyFill="1" applyAlignment="1">
      <alignment vertical="top" wrapText="1"/>
    </xf>
    <xf numFmtId="0" fontId="19" fillId="17" borderId="15" xfId="0" applyFont="1" applyFill="1" applyBorder="1" applyAlignment="1">
      <alignment vertical="top" wrapText="1"/>
    </xf>
    <xf numFmtId="0" fontId="19" fillId="0" borderId="17" xfId="0" applyFont="1" applyBorder="1" applyAlignment="1">
      <alignment horizontal="left"/>
    </xf>
    <xf numFmtId="0" fontId="19" fillId="0" borderId="17" xfId="0" applyFont="1" applyBorder="1" applyAlignment="1">
      <alignment horizontal="center"/>
    </xf>
    <xf numFmtId="0" fontId="19" fillId="5" borderId="25" xfId="0" applyFont="1" applyFill="1" applyBorder="1" applyAlignment="1">
      <alignment horizontal="center"/>
    </xf>
    <xf numFmtId="0" fontId="31" fillId="14" borderId="15" xfId="0" applyFont="1" applyFill="1" applyBorder="1" applyAlignment="1">
      <alignment horizontal="left" vertical="top"/>
    </xf>
    <xf numFmtId="0" fontId="32" fillId="14" borderId="15" xfId="0" applyFont="1" applyFill="1" applyBorder="1" applyAlignment="1">
      <alignment horizontal="left" vertical="top" wrapText="1"/>
    </xf>
    <xf numFmtId="0" fontId="32" fillId="4" borderId="15" xfId="0" applyFont="1" applyFill="1" applyBorder="1" applyAlignment="1">
      <alignment horizontal="left" vertical="top" wrapText="1"/>
    </xf>
    <xf numFmtId="0" fontId="32" fillId="5" borderId="15" xfId="0" applyFont="1" applyFill="1" applyBorder="1" applyAlignment="1">
      <alignment horizontal="left" vertical="top" wrapText="1"/>
    </xf>
    <xf numFmtId="1" fontId="32" fillId="14" borderId="15" xfId="0" applyNumberFormat="1" applyFont="1" applyFill="1" applyBorder="1" applyAlignment="1">
      <alignment horizontal="left" vertical="top" wrapText="1"/>
    </xf>
    <xf numFmtId="0" fontId="19" fillId="0" borderId="17" xfId="0" applyFont="1" applyBorder="1" applyAlignment="1">
      <alignment horizontal="center" wrapText="1"/>
    </xf>
    <xf numFmtId="0" fontId="19" fillId="5" borderId="29" xfId="0" applyFont="1" applyFill="1" applyBorder="1" applyAlignment="1">
      <alignment horizontal="center"/>
    </xf>
    <xf numFmtId="0" fontId="32" fillId="14" borderId="30" xfId="0" applyFont="1" applyFill="1" applyBorder="1" applyAlignment="1">
      <alignment horizontal="left" vertical="top" wrapText="1"/>
    </xf>
    <xf numFmtId="1" fontId="32" fillId="14" borderId="30" xfId="0" applyNumberFormat="1" applyFont="1" applyFill="1" applyBorder="1" applyAlignment="1">
      <alignment horizontal="left" vertical="top" wrapText="1"/>
    </xf>
    <xf numFmtId="166" fontId="32" fillId="14" borderId="30" xfId="0" applyNumberFormat="1" applyFont="1" applyFill="1" applyBorder="1" applyAlignment="1">
      <alignment horizontal="center"/>
    </xf>
    <xf numFmtId="0" fontId="19" fillId="15" borderId="30" xfId="0" applyFont="1" applyFill="1" applyBorder="1" applyAlignment="1">
      <alignment horizontal="center"/>
    </xf>
    <xf numFmtId="0" fontId="32" fillId="5" borderId="29" xfId="0" applyFont="1" applyFill="1" applyBorder="1" applyAlignment="1">
      <alignment horizontal="left" vertical="top" wrapText="1"/>
    </xf>
    <xf numFmtId="0" fontId="32" fillId="14" borderId="27" xfId="0" applyFont="1" applyFill="1" applyBorder="1" applyAlignment="1">
      <alignment horizontal="left" vertical="top" wrapText="1"/>
    </xf>
    <xf numFmtId="0" fontId="32" fillId="14" borderId="11" xfId="0" applyFont="1" applyFill="1" applyBorder="1" applyAlignment="1">
      <alignment horizontal="left" vertical="top" wrapText="1"/>
    </xf>
    <xf numFmtId="1" fontId="32" fillId="14" borderId="11" xfId="0" applyNumberFormat="1" applyFont="1" applyFill="1" applyBorder="1" applyAlignment="1">
      <alignment horizontal="left" vertical="top" wrapText="1"/>
    </xf>
    <xf numFmtId="166" fontId="32" fillId="14" borderId="11" xfId="0" applyNumberFormat="1" applyFont="1" applyFill="1" applyBorder="1" applyAlignment="1">
      <alignment horizontal="center" vertical="top" wrapText="1"/>
    </xf>
    <xf numFmtId="0" fontId="32" fillId="14" borderId="19" xfId="0" applyFont="1" applyFill="1" applyBorder="1" applyAlignment="1">
      <alignment horizontal="left" vertical="top" wrapText="1"/>
    </xf>
    <xf numFmtId="1" fontId="32" fillId="14" borderId="19" xfId="0" applyNumberFormat="1" applyFont="1" applyFill="1" applyBorder="1" applyAlignment="1">
      <alignment horizontal="left" vertical="top" wrapText="1"/>
    </xf>
    <xf numFmtId="166" fontId="32" fillId="14" borderId="13" xfId="0" applyNumberFormat="1" applyFont="1" applyFill="1" applyBorder="1" applyAlignment="1">
      <alignment horizontal="center" vertical="top" wrapText="1"/>
    </xf>
    <xf numFmtId="0" fontId="19" fillId="17" borderId="13" xfId="0" applyFont="1" applyFill="1" applyBorder="1" applyAlignment="1">
      <alignment horizontal="left" vertical="top" wrapText="1"/>
    </xf>
    <xf numFmtId="0" fontId="19" fillId="5" borderId="31" xfId="0" applyFont="1" applyFill="1" applyBorder="1" applyAlignment="1">
      <alignment horizontal="center"/>
    </xf>
    <xf numFmtId="0" fontId="0" fillId="0" borderId="16" xfId="0" applyBorder="1"/>
    <xf numFmtId="0" fontId="0" fillId="0" borderId="15" xfId="0" applyBorder="1"/>
    <xf numFmtId="0" fontId="19" fillId="14" borderId="15" xfId="0" applyFont="1" applyFill="1" applyBorder="1" applyAlignment="1">
      <alignment horizontal="left" vertical="top" wrapText="1"/>
    </xf>
    <xf numFmtId="166" fontId="32" fillId="14" borderId="15" xfId="0" applyNumberFormat="1" applyFont="1" applyFill="1" applyBorder="1" applyAlignment="1">
      <alignment horizontal="center" vertical="top" wrapText="1"/>
    </xf>
    <xf numFmtId="166" fontId="32" fillId="14" borderId="19" xfId="0" applyNumberFormat="1" applyFont="1" applyFill="1" applyBorder="1" applyAlignment="1">
      <alignment horizontal="center" vertical="top" wrapText="1"/>
    </xf>
    <xf numFmtId="0" fontId="19" fillId="6" borderId="0" xfId="0" applyFont="1" applyFill="1" applyAlignment="1">
      <alignment wrapText="1"/>
    </xf>
    <xf numFmtId="0" fontId="19" fillId="6" borderId="15" xfId="0" applyFont="1" applyFill="1" applyBorder="1" applyAlignment="1">
      <alignment wrapText="1"/>
    </xf>
    <xf numFmtId="0" fontId="31" fillId="17" borderId="0" xfId="0" applyFont="1" applyFill="1" applyAlignment="1">
      <alignment vertical="top"/>
    </xf>
    <xf numFmtId="0" fontId="19" fillId="6" borderId="0" xfId="0" applyFont="1" applyFill="1"/>
    <xf numFmtId="0" fontId="19" fillId="0" borderId="0" xfId="0" applyFont="1" applyAlignment="1">
      <alignment horizontal="center" wrapText="1"/>
    </xf>
    <xf numFmtId="0" fontId="32" fillId="6" borderId="0" xfId="0" applyFont="1" applyFill="1" applyAlignment="1">
      <alignment horizontal="left" wrapText="1"/>
    </xf>
    <xf numFmtId="0" fontId="48" fillId="0" borderId="15" xfId="0" applyFont="1" applyBorder="1" applyAlignment="1">
      <alignment horizontal="center" wrapText="1"/>
    </xf>
    <xf numFmtId="0" fontId="17" fillId="0" borderId="15" xfId="0" applyFont="1" applyBorder="1" applyAlignment="1">
      <alignment horizontal="center"/>
    </xf>
    <xf numFmtId="166" fontId="17" fillId="0" borderId="15" xfId="0" applyNumberFormat="1" applyFont="1" applyBorder="1" applyAlignment="1">
      <alignment horizontal="center" wrapText="1"/>
    </xf>
    <xf numFmtId="166" fontId="32" fillId="14" borderId="15" xfId="0" applyNumberFormat="1" applyFont="1" applyFill="1" applyBorder="1" applyAlignment="1">
      <alignment horizontal="center"/>
    </xf>
    <xf numFmtId="0" fontId="19" fillId="17" borderId="15" xfId="0" applyFont="1" applyFill="1" applyBorder="1" applyAlignment="1">
      <alignment horizontal="left" wrapText="1"/>
    </xf>
    <xf numFmtId="0" fontId="32" fillId="0" borderId="32" xfId="0" applyFont="1" applyBorder="1" applyAlignment="1">
      <alignment horizontal="center"/>
    </xf>
    <xf numFmtId="0" fontId="32" fillId="14" borderId="33" xfId="0" applyFont="1" applyFill="1" applyBorder="1" applyAlignment="1">
      <alignment horizontal="left" vertical="top" wrapText="1"/>
    </xf>
    <xf numFmtId="0" fontId="40" fillId="0" borderId="0" xfId="0" applyFont="1"/>
    <xf numFmtId="1" fontId="12" fillId="0" borderId="0" xfId="0" applyNumberFormat="1" applyFont="1"/>
    <xf numFmtId="166" fontId="12" fillId="0" borderId="0" xfId="0" applyNumberFormat="1" applyFont="1" applyAlignment="1">
      <alignment horizontal="center"/>
    </xf>
    <xf numFmtId="0" fontId="11" fillId="0" borderId="0" xfId="0" applyFont="1" applyAlignment="1">
      <alignment horizontal="left"/>
    </xf>
    <xf numFmtId="0" fontId="26" fillId="0" borderId="0" xfId="0" applyFont="1"/>
    <xf numFmtId="0" fontId="11" fillId="0" borderId="0" xfId="0" applyFont="1"/>
    <xf numFmtId="1" fontId="26" fillId="0" borderId="0" xfId="0" applyNumberFormat="1" applyFont="1"/>
    <xf numFmtId="166" fontId="26" fillId="0" borderId="0" xfId="0" applyNumberFormat="1" applyFont="1" applyAlignment="1">
      <alignment horizontal="center"/>
    </xf>
    <xf numFmtId="3" fontId="12" fillId="0" borderId="0" xfId="0" applyNumberFormat="1" applyFont="1"/>
    <xf numFmtId="0" fontId="12" fillId="0" borderId="14" xfId="0" applyFont="1" applyBorder="1"/>
    <xf numFmtId="3" fontId="11" fillId="0" borderId="15" xfId="0" applyNumberFormat="1" applyFont="1" applyBorder="1"/>
    <xf numFmtId="0" fontId="11" fillId="0" borderId="15" xfId="0" applyFont="1" applyBorder="1"/>
    <xf numFmtId="166" fontId="12" fillId="0" borderId="0" xfId="0" applyNumberFormat="1" applyFont="1"/>
    <xf numFmtId="0" fontId="12" fillId="0" borderId="16" xfId="0" applyFont="1" applyBorder="1"/>
    <xf numFmtId="3" fontId="12" fillId="0" borderId="15" xfId="0" applyNumberFormat="1" applyFont="1" applyBorder="1"/>
    <xf numFmtId="0" fontId="27" fillId="0" borderId="15" xfId="0" applyFont="1" applyBorder="1" applyAlignment="1">
      <alignment horizontal="right"/>
    </xf>
    <xf numFmtId="0" fontId="12" fillId="10" borderId="16" xfId="0" applyFont="1" applyFill="1" applyBorder="1"/>
    <xf numFmtId="0" fontId="12" fillId="10" borderId="15" xfId="0" applyFont="1" applyFill="1" applyBorder="1"/>
    <xf numFmtId="168" fontId="12" fillId="0" borderId="15" xfId="0" applyNumberFormat="1" applyFont="1" applyBorder="1"/>
    <xf numFmtId="166" fontId="11" fillId="0" borderId="0" xfId="0" applyNumberFormat="1" applyFont="1" applyAlignment="1">
      <alignment horizontal="right"/>
    </xf>
    <xf numFmtId="168" fontId="12" fillId="0" borderId="15" xfId="0" applyNumberFormat="1" applyFont="1" applyBorder="1" applyAlignment="1">
      <alignment horizontal="right"/>
    </xf>
    <xf numFmtId="166" fontId="11" fillId="0" borderId="0" xfId="0" applyNumberFormat="1" applyFont="1"/>
    <xf numFmtId="0" fontId="11" fillId="0" borderId="15" xfId="0" applyFont="1" applyBorder="1" applyAlignment="1">
      <alignment horizontal="right"/>
    </xf>
    <xf numFmtId="166" fontId="12" fillId="0" borderId="15" xfId="0" applyNumberFormat="1" applyFont="1" applyBorder="1" applyAlignment="1">
      <alignment horizontal="right"/>
    </xf>
    <xf numFmtId="0" fontId="11" fillId="0" borderId="16" xfId="0" applyFont="1" applyBorder="1"/>
    <xf numFmtId="166" fontId="12" fillId="0" borderId="15" xfId="0" applyNumberFormat="1" applyFont="1" applyBorder="1"/>
    <xf numFmtId="166" fontId="18" fillId="0" borderId="0" xfId="0" applyNumberFormat="1" applyFont="1"/>
    <xf numFmtId="168" fontId="11" fillId="0" borderId="0" xfId="0" applyNumberFormat="1" applyFont="1" applyAlignment="1">
      <alignment horizontal="right"/>
    </xf>
    <xf numFmtId="0" fontId="11" fillId="10" borderId="16" xfId="0" applyFont="1" applyFill="1" applyBorder="1"/>
    <xf numFmtId="0" fontId="11" fillId="10" borderId="15" xfId="0" applyFont="1" applyFill="1" applyBorder="1"/>
    <xf numFmtId="168" fontId="12" fillId="2" borderId="15" xfId="0" applyNumberFormat="1" applyFont="1" applyFill="1" applyBorder="1" applyAlignment="1">
      <alignment horizontal="right"/>
    </xf>
    <xf numFmtId="0" fontId="19" fillId="0" borderId="14" xfId="0" applyFont="1" applyBorder="1"/>
    <xf numFmtId="0" fontId="32" fillId="10" borderId="16" xfId="0" applyFont="1" applyFill="1" applyBorder="1"/>
    <xf numFmtId="0" fontId="32" fillId="10" borderId="15" xfId="0" applyFont="1" applyFill="1" applyBorder="1"/>
    <xf numFmtId="168" fontId="49" fillId="0" borderId="15" xfId="0" applyNumberFormat="1" applyFont="1" applyBorder="1" applyAlignment="1">
      <alignment horizontal="right"/>
    </xf>
    <xf numFmtId="1" fontId="19" fillId="0" borderId="0" xfId="0" applyNumberFormat="1" applyFont="1"/>
    <xf numFmtId="166" fontId="19" fillId="0" borderId="0" xfId="0" applyNumberFormat="1" applyFont="1"/>
    <xf numFmtId="166" fontId="49" fillId="0" borderId="15" xfId="0" applyNumberFormat="1" applyFont="1" applyBorder="1" applyAlignment="1">
      <alignment horizontal="right"/>
    </xf>
    <xf numFmtId="0" fontId="50" fillId="0" borderId="16" xfId="0" applyFont="1" applyBorder="1"/>
    <xf numFmtId="0" fontId="50" fillId="0" borderId="15" xfId="0" applyFont="1" applyBorder="1"/>
    <xf numFmtId="0" fontId="51" fillId="0" borderId="0" xfId="0" applyFont="1"/>
    <xf numFmtId="0" fontId="32" fillId="0" borderId="16" xfId="0" applyFont="1" applyBorder="1"/>
    <xf numFmtId="0" fontId="32" fillId="0" borderId="15" xfId="0" applyFont="1" applyBorder="1"/>
    <xf numFmtId="0" fontId="19" fillId="10" borderId="15" xfId="0" applyFont="1" applyFill="1" applyBorder="1"/>
    <xf numFmtId="168" fontId="19" fillId="0" borderId="0" xfId="0" applyNumberFormat="1" applyFont="1"/>
    <xf numFmtId="0" fontId="32" fillId="10" borderId="34" xfId="0" applyFont="1" applyFill="1" applyBorder="1" applyAlignment="1">
      <alignment horizontal="left"/>
    </xf>
    <xf numFmtId="0" fontId="11" fillId="10" borderId="31" xfId="0" applyFont="1" applyFill="1" applyBorder="1"/>
    <xf numFmtId="0" fontId="32" fillId="10" borderId="29" xfId="0" applyFont="1" applyFill="1" applyBorder="1" applyAlignment="1">
      <alignment horizontal="left"/>
    </xf>
    <xf numFmtId="0" fontId="11" fillId="10" borderId="29" xfId="0" applyFont="1" applyFill="1" applyBorder="1"/>
    <xf numFmtId="0" fontId="32" fillId="10" borderId="31" xfId="0" applyFont="1" applyFill="1" applyBorder="1" applyAlignment="1">
      <alignment horizontal="left"/>
    </xf>
    <xf numFmtId="166" fontId="30" fillId="0" borderId="0" xfId="0" applyNumberFormat="1" applyFont="1"/>
    <xf numFmtId="1" fontId="0" fillId="0" borderId="0" xfId="0" applyNumberFormat="1"/>
    <xf numFmtId="166" fontId="0" fillId="0" borderId="0" xfId="0" applyNumberFormat="1" applyAlignment="1">
      <alignment horizontal="center"/>
    </xf>
    <xf numFmtId="164" fontId="1" fillId="2" borderId="1" xfId="0" applyNumberFormat="1" applyFont="1" applyFill="1" applyBorder="1" applyAlignment="1">
      <alignment horizontal="center" vertical="center"/>
    </xf>
    <xf numFmtId="0" fontId="2" fillId="0" borderId="2" xfId="0" applyFont="1" applyBorder="1"/>
    <xf numFmtId="0" fontId="2" fillId="0" borderId="3" xfId="0" applyFont="1" applyBorder="1"/>
    <xf numFmtId="0" fontId="13" fillId="2" borderId="7" xfId="0" applyFont="1" applyFill="1" applyBorder="1" applyAlignment="1">
      <alignment horizontal="left"/>
    </xf>
    <xf numFmtId="0" fontId="2" fillId="0" borderId="8" xfId="0" applyFont="1" applyBorder="1"/>
    <xf numFmtId="0" fontId="23" fillId="2" borderId="9" xfId="0" applyFont="1" applyFill="1" applyBorder="1" applyAlignment="1">
      <alignment horizontal="left"/>
    </xf>
    <xf numFmtId="0" fontId="2" fillId="0" borderId="1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13</xdr:col>
      <xdr:colOff>952500</xdr:colOff>
      <xdr:row>0</xdr:row>
      <xdr:rowOff>114300</xdr:rowOff>
    </xdr:from>
    <xdr:ext cx="952500" cy="438150"/>
    <xdr:pic>
      <xdr:nvPicPr>
        <xdr:cNvPr id="2" name="image1.jpg" descr="KB-logo.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uteprodukter.se/lekplats-och-lekmiljo/gungor/tragunga" TargetMode="External"/><Relationship Id="rId1" Type="http://schemas.openxmlformats.org/officeDocument/2006/relationships/hyperlink" Target="http://www.kbforvaltning.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K1039"/>
  <sheetViews>
    <sheetView tabSelected="1" zoomScale="69" workbookViewId="0">
      <pane ySplit="11" topLeftCell="A145" activePane="bottomLeft" state="frozen"/>
      <selection pane="bottomLeft" activeCell="I147" sqref="I147"/>
    </sheetView>
  </sheetViews>
  <sheetFormatPr baseColWidth="10" defaultColWidth="14.5" defaultRowHeight="15" customHeight="1"/>
  <cols>
    <col min="1" max="1" width="9.83203125" customWidth="1"/>
    <col min="2" max="2" width="30.1640625" customWidth="1"/>
    <col min="3" max="3" width="10.5" customWidth="1"/>
    <col min="4" max="4" width="7.5" customWidth="1"/>
    <col min="5" max="5" width="45.6640625" customWidth="1"/>
    <col min="6" max="6" width="19" customWidth="1"/>
    <col min="7" max="7" width="39.33203125" customWidth="1"/>
    <col min="8" max="8" width="20" customWidth="1"/>
    <col min="9" max="9" width="13.1640625" customWidth="1"/>
    <col min="10" max="10" width="6.5" customWidth="1"/>
    <col min="11" max="11" width="10" customWidth="1"/>
    <col min="12" max="12" width="10.33203125" customWidth="1"/>
    <col min="13" max="13" width="17.6640625" customWidth="1"/>
    <col min="14" max="14" width="61.5" customWidth="1"/>
    <col min="15" max="15" width="8.5" customWidth="1"/>
    <col min="16" max="16" width="14.1640625" customWidth="1"/>
    <col min="17" max="17" width="37" customWidth="1"/>
    <col min="18" max="18" width="10.83203125" customWidth="1"/>
    <col min="19" max="37" width="8.6640625" customWidth="1"/>
  </cols>
  <sheetData>
    <row r="1" spans="1:37" ht="54" customHeight="1">
      <c r="A1" s="436" t="s">
        <v>0</v>
      </c>
      <c r="B1" s="437"/>
      <c r="C1" s="437"/>
      <c r="D1" s="437"/>
      <c r="E1" s="437"/>
      <c r="F1" s="437"/>
      <c r="G1" s="437"/>
      <c r="H1" s="437"/>
      <c r="I1" s="437"/>
      <c r="J1" s="437"/>
      <c r="K1" s="437"/>
      <c r="L1" s="437"/>
      <c r="M1" s="437"/>
      <c r="N1" s="438"/>
      <c r="O1" s="1"/>
      <c r="P1" s="1"/>
    </row>
    <row r="2" spans="1:37" ht="19">
      <c r="A2" s="2" t="s">
        <v>1</v>
      </c>
      <c r="B2" s="3"/>
      <c r="C2" s="4"/>
      <c r="D2" s="5"/>
      <c r="E2" s="6"/>
      <c r="F2" s="7"/>
      <c r="G2" s="8" t="s">
        <v>2</v>
      </c>
      <c r="H2" s="9" t="s">
        <v>3</v>
      </c>
      <c r="I2" s="10"/>
      <c r="J2" s="11" t="s">
        <v>4</v>
      </c>
      <c r="K2" s="12"/>
      <c r="L2" s="13"/>
      <c r="M2" s="14"/>
      <c r="N2" s="15"/>
    </row>
    <row r="3" spans="1:37" ht="17">
      <c r="A3" s="439" t="s">
        <v>5</v>
      </c>
      <c r="B3" s="440"/>
      <c r="C3" s="16"/>
      <c r="D3" s="17"/>
      <c r="E3" s="18"/>
      <c r="F3" s="19"/>
      <c r="G3" s="20" t="s">
        <v>6</v>
      </c>
      <c r="H3" s="12" t="s">
        <v>7</v>
      </c>
      <c r="I3" s="21"/>
      <c r="J3" s="22" t="s">
        <v>8</v>
      </c>
      <c r="K3" s="22"/>
      <c r="L3" s="21"/>
      <c r="M3" s="23"/>
      <c r="N3" s="24"/>
    </row>
    <row r="4" spans="1:37" ht="17">
      <c r="A4" s="25" t="s">
        <v>9</v>
      </c>
      <c r="B4" s="16"/>
      <c r="C4" s="26" t="s">
        <v>10</v>
      </c>
      <c r="D4" s="17"/>
      <c r="E4" s="18"/>
      <c r="F4" s="27"/>
      <c r="G4" s="20" t="s">
        <v>11</v>
      </c>
      <c r="H4" s="12" t="s">
        <v>12</v>
      </c>
      <c r="I4" s="7"/>
      <c r="J4" s="9" t="s">
        <v>13</v>
      </c>
      <c r="K4" s="9"/>
      <c r="L4" s="13"/>
      <c r="M4" s="14"/>
      <c r="N4" s="28" t="s">
        <v>14</v>
      </c>
    </row>
    <row r="5" spans="1:37" ht="16">
      <c r="A5" s="25" t="s">
        <v>15</v>
      </c>
      <c r="B5" s="16"/>
      <c r="C5" s="26"/>
      <c r="D5" s="17"/>
      <c r="E5" s="18"/>
      <c r="F5" s="19"/>
      <c r="G5" s="29" t="s">
        <v>16</v>
      </c>
      <c r="H5" s="12" t="s">
        <v>17</v>
      </c>
      <c r="I5" s="30"/>
      <c r="J5" s="31" t="s">
        <v>18</v>
      </c>
      <c r="K5" s="9"/>
      <c r="L5" s="13"/>
      <c r="M5" s="14"/>
      <c r="N5" s="32" t="s">
        <v>19</v>
      </c>
    </row>
    <row r="6" spans="1:37" ht="17">
      <c r="A6" s="439" t="s">
        <v>20</v>
      </c>
      <c r="B6" s="440"/>
      <c r="C6" s="33" t="s">
        <v>21</v>
      </c>
      <c r="D6" s="17"/>
      <c r="E6" s="34">
        <v>44518</v>
      </c>
      <c r="F6" s="19"/>
      <c r="G6" s="20" t="s">
        <v>22</v>
      </c>
      <c r="H6" s="12" t="s">
        <v>23</v>
      </c>
      <c r="I6" s="7"/>
      <c r="J6" s="9" t="s">
        <v>24</v>
      </c>
      <c r="K6" s="12"/>
      <c r="L6" s="13"/>
      <c r="M6" s="14"/>
      <c r="N6" s="32" t="s">
        <v>25</v>
      </c>
      <c r="T6" s="35"/>
      <c r="U6" s="35"/>
      <c r="V6" s="35"/>
    </row>
    <row r="7" spans="1:37" ht="16">
      <c r="A7" s="25" t="s">
        <v>26</v>
      </c>
      <c r="B7" s="33"/>
      <c r="C7" s="33" t="s">
        <v>27</v>
      </c>
      <c r="D7" s="17"/>
      <c r="E7" s="18"/>
      <c r="F7" s="19"/>
      <c r="G7" s="29" t="s">
        <v>28</v>
      </c>
      <c r="H7" s="12" t="s">
        <v>29</v>
      </c>
      <c r="I7" s="19"/>
      <c r="J7" s="12" t="s">
        <v>30</v>
      </c>
      <c r="K7" s="12"/>
      <c r="L7" s="13"/>
      <c r="M7" s="14"/>
      <c r="N7" s="32" t="s">
        <v>31</v>
      </c>
      <c r="T7" s="35"/>
      <c r="U7" s="35"/>
      <c r="V7" s="35"/>
    </row>
    <row r="8" spans="1:37" ht="20.25" customHeight="1">
      <c r="A8" s="25" t="s">
        <v>32</v>
      </c>
      <c r="B8" s="33"/>
      <c r="C8" s="33" t="s">
        <v>33</v>
      </c>
      <c r="D8" s="17"/>
      <c r="E8" s="18"/>
      <c r="F8" s="19"/>
      <c r="G8" s="19"/>
      <c r="H8" s="12" t="s">
        <v>34</v>
      </c>
      <c r="I8" s="10"/>
      <c r="J8" s="11" t="s">
        <v>35</v>
      </c>
      <c r="K8" s="12"/>
      <c r="L8" s="13"/>
      <c r="M8" s="14"/>
      <c r="N8" s="36" t="s">
        <v>36</v>
      </c>
    </row>
    <row r="9" spans="1:37" ht="0.75" customHeight="1">
      <c r="A9" s="441" t="s">
        <v>37</v>
      </c>
      <c r="B9" s="442"/>
      <c r="C9" s="37"/>
      <c r="D9" s="38"/>
      <c r="E9" s="39"/>
      <c r="F9" s="38" t="s">
        <v>38</v>
      </c>
      <c r="G9" s="38" t="s">
        <v>38</v>
      </c>
      <c r="H9" s="39" t="s">
        <v>38</v>
      </c>
      <c r="I9" s="40"/>
      <c r="J9" s="41" t="s">
        <v>39</v>
      </c>
      <c r="K9" s="41"/>
      <c r="L9" s="42"/>
      <c r="M9" s="43"/>
      <c r="N9" s="44"/>
      <c r="O9" s="45"/>
      <c r="P9" s="45"/>
      <c r="Q9" s="45"/>
      <c r="R9" s="35"/>
    </row>
    <row r="10" spans="1:37" ht="102.75" customHeight="1">
      <c r="A10" s="46" t="s">
        <v>40</v>
      </c>
      <c r="B10" s="47" t="s">
        <v>41</v>
      </c>
      <c r="C10" s="48" t="s">
        <v>42</v>
      </c>
      <c r="D10" s="49" t="s">
        <v>43</v>
      </c>
      <c r="E10" s="50" t="s">
        <v>44</v>
      </c>
      <c r="F10" s="51" t="s">
        <v>45</v>
      </c>
      <c r="G10" s="52" t="s">
        <v>3</v>
      </c>
      <c r="H10" s="53" t="s">
        <v>46</v>
      </c>
      <c r="I10" s="54" t="s">
        <v>47</v>
      </c>
      <c r="J10" s="54" t="s">
        <v>48</v>
      </c>
      <c r="K10" s="54" t="s">
        <v>49</v>
      </c>
      <c r="L10" s="54" t="s">
        <v>50</v>
      </c>
      <c r="M10" s="55" t="s">
        <v>51</v>
      </c>
      <c r="N10" s="56" t="s">
        <v>52</v>
      </c>
      <c r="O10" s="57" t="s">
        <v>53</v>
      </c>
      <c r="P10" s="58" t="s">
        <v>54</v>
      </c>
      <c r="Q10" s="59" t="s">
        <v>55</v>
      </c>
      <c r="R10" s="60" t="s">
        <v>56</v>
      </c>
    </row>
    <row r="11" spans="1:37" ht="16">
      <c r="A11" s="61" t="s">
        <v>57</v>
      </c>
      <c r="B11" s="62" t="s">
        <v>58</v>
      </c>
      <c r="C11" s="63"/>
      <c r="D11" s="64"/>
      <c r="E11" s="65"/>
      <c r="F11" s="66"/>
      <c r="G11" s="66" t="s">
        <v>52</v>
      </c>
      <c r="H11" s="67"/>
      <c r="I11" s="66"/>
      <c r="J11" s="67"/>
      <c r="K11" s="67"/>
      <c r="L11" s="68"/>
      <c r="M11" s="69"/>
      <c r="N11" s="70"/>
      <c r="P11" s="71"/>
    </row>
    <row r="12" spans="1:37" ht="130.5" customHeight="1">
      <c r="A12" s="72" t="s">
        <v>59</v>
      </c>
      <c r="B12" s="73" t="s">
        <v>60</v>
      </c>
      <c r="C12" s="74"/>
      <c r="D12" s="75"/>
      <c r="E12" s="76" t="s">
        <v>61</v>
      </c>
      <c r="F12" s="77">
        <v>2030</v>
      </c>
      <c r="G12" s="78" t="s">
        <v>62</v>
      </c>
      <c r="H12" s="77"/>
      <c r="I12" s="79"/>
      <c r="J12" s="80" t="s">
        <v>63</v>
      </c>
      <c r="K12" s="81">
        <v>18</v>
      </c>
      <c r="L12" s="81">
        <v>1000</v>
      </c>
      <c r="M12" s="82">
        <f>(L12*K12)+(688*8*3)+9000</f>
        <v>43512</v>
      </c>
      <c r="N12" s="83" t="s">
        <v>64</v>
      </c>
      <c r="O12" s="84"/>
      <c r="P12" s="84"/>
      <c r="Q12" s="85"/>
      <c r="R12" s="85"/>
      <c r="S12" s="85"/>
      <c r="T12" s="85"/>
      <c r="U12" s="85"/>
      <c r="V12" s="85"/>
      <c r="W12" s="85"/>
      <c r="X12" s="85"/>
      <c r="Y12" s="85"/>
      <c r="Z12" s="85"/>
      <c r="AA12" s="85"/>
      <c r="AB12" s="85"/>
      <c r="AC12" s="85"/>
      <c r="AD12" s="85"/>
      <c r="AE12" s="85"/>
      <c r="AF12" s="85"/>
      <c r="AG12" s="85"/>
      <c r="AH12" s="85"/>
      <c r="AI12" s="85"/>
      <c r="AJ12" s="85"/>
      <c r="AK12" s="85"/>
    </row>
    <row r="13" spans="1:37" ht="70.5" customHeight="1">
      <c r="A13" s="86" t="s">
        <v>65</v>
      </c>
      <c r="B13" s="87" t="s">
        <v>66</v>
      </c>
      <c r="C13" s="88"/>
      <c r="D13" s="89"/>
      <c r="E13" s="76" t="s">
        <v>67</v>
      </c>
      <c r="F13" s="90"/>
      <c r="G13" s="90" t="s">
        <v>68</v>
      </c>
      <c r="H13" s="91">
        <v>2030</v>
      </c>
      <c r="I13" s="92"/>
      <c r="J13" s="80" t="s">
        <v>69</v>
      </c>
      <c r="K13" s="81">
        <v>1028</v>
      </c>
      <c r="L13" s="93" t="s">
        <v>70</v>
      </c>
      <c r="M13" s="82">
        <f>L13*K13</f>
        <v>102800</v>
      </c>
      <c r="N13" s="94" t="s">
        <v>71</v>
      </c>
      <c r="O13" s="84"/>
      <c r="P13" s="84"/>
      <c r="Q13" s="85"/>
      <c r="R13" s="85"/>
      <c r="S13" s="85"/>
      <c r="T13" s="85"/>
      <c r="U13" s="85"/>
      <c r="V13" s="85"/>
      <c r="W13" s="85"/>
      <c r="X13" s="85"/>
      <c r="Y13" s="85"/>
      <c r="Z13" s="85"/>
      <c r="AA13" s="85"/>
      <c r="AB13" s="85"/>
      <c r="AC13" s="85"/>
      <c r="AD13" s="85"/>
      <c r="AE13" s="85"/>
      <c r="AF13" s="85"/>
      <c r="AG13" s="85"/>
      <c r="AH13" s="85"/>
      <c r="AI13" s="95"/>
      <c r="AJ13" s="95"/>
      <c r="AK13" s="95"/>
    </row>
    <row r="14" spans="1:37" ht="177.75" customHeight="1">
      <c r="A14" s="96" t="s">
        <v>72</v>
      </c>
      <c r="B14" s="87" t="s">
        <v>73</v>
      </c>
      <c r="C14" s="97"/>
      <c r="D14" s="98"/>
      <c r="E14" s="76" t="s">
        <v>74</v>
      </c>
      <c r="F14" s="99">
        <v>2023</v>
      </c>
      <c r="G14" s="100" t="s">
        <v>75</v>
      </c>
      <c r="H14" s="95"/>
      <c r="I14" s="80"/>
      <c r="J14" s="80" t="s">
        <v>63</v>
      </c>
      <c r="K14" s="81">
        <v>850</v>
      </c>
      <c r="L14" s="81"/>
      <c r="M14" s="101">
        <f>(65*K14)+(K14*70)+(K14*15)</f>
        <v>127500</v>
      </c>
      <c r="N14" s="102" t="s">
        <v>76</v>
      </c>
      <c r="O14" s="84"/>
      <c r="P14" s="84"/>
      <c r="Q14" s="85"/>
      <c r="R14" s="85"/>
      <c r="S14" s="85"/>
      <c r="T14" s="85"/>
      <c r="U14" s="85"/>
      <c r="V14" s="85"/>
      <c r="W14" s="85"/>
      <c r="X14" s="85"/>
      <c r="Y14" s="85"/>
      <c r="Z14" s="85"/>
      <c r="AA14" s="85"/>
      <c r="AB14" s="85"/>
      <c r="AC14" s="85"/>
      <c r="AD14" s="85"/>
      <c r="AE14" s="85"/>
      <c r="AF14" s="85"/>
      <c r="AG14" s="85"/>
      <c r="AH14" s="85"/>
      <c r="AI14" s="95"/>
      <c r="AJ14" s="95"/>
      <c r="AK14" s="95"/>
    </row>
    <row r="15" spans="1:37" ht="105" customHeight="1">
      <c r="A15" s="103"/>
      <c r="B15" s="87" t="s">
        <v>73</v>
      </c>
      <c r="C15" s="97"/>
      <c r="D15" s="98"/>
      <c r="E15" s="76" t="s">
        <v>74</v>
      </c>
      <c r="F15" s="77" t="s">
        <v>77</v>
      </c>
      <c r="G15" s="104" t="s">
        <v>78</v>
      </c>
      <c r="H15" s="99">
        <v>2030</v>
      </c>
      <c r="I15" s="80"/>
      <c r="J15" s="80" t="s">
        <v>69</v>
      </c>
      <c r="K15" s="81">
        <v>850</v>
      </c>
      <c r="L15" s="81">
        <v>1000</v>
      </c>
      <c r="M15" s="80">
        <f>(L15*K15)+20000</f>
        <v>870000</v>
      </c>
      <c r="N15" s="105" t="s">
        <v>79</v>
      </c>
      <c r="O15" s="84"/>
      <c r="P15" s="84"/>
      <c r="Q15" s="85"/>
      <c r="R15" s="85"/>
      <c r="S15" s="85"/>
      <c r="T15" s="85"/>
      <c r="U15" s="85"/>
      <c r="V15" s="85"/>
      <c r="W15" s="85"/>
      <c r="X15" s="85"/>
      <c r="Y15" s="85"/>
      <c r="Z15" s="85"/>
      <c r="AA15" s="85"/>
      <c r="AB15" s="85"/>
      <c r="AC15" s="85"/>
      <c r="AD15" s="85"/>
      <c r="AE15" s="85"/>
      <c r="AF15" s="85"/>
      <c r="AG15" s="85"/>
      <c r="AH15" s="85"/>
      <c r="AI15" s="95"/>
      <c r="AJ15" s="95"/>
      <c r="AK15" s="95"/>
    </row>
    <row r="16" spans="1:37" ht="147" customHeight="1">
      <c r="A16" s="103"/>
      <c r="B16" s="87" t="s">
        <v>73</v>
      </c>
      <c r="C16" s="97"/>
      <c r="D16" s="98"/>
      <c r="E16" s="76"/>
      <c r="F16" s="106">
        <f>H15+5</f>
        <v>2035</v>
      </c>
      <c r="G16" s="100" t="s">
        <v>80</v>
      </c>
      <c r="H16" s="107"/>
      <c r="I16" s="80"/>
      <c r="J16" s="80" t="s">
        <v>69</v>
      </c>
      <c r="K16" s="81">
        <v>850</v>
      </c>
      <c r="L16" s="81"/>
      <c r="M16" s="101">
        <f>(65*K16)+(K16*15)</f>
        <v>68000</v>
      </c>
      <c r="N16" s="102" t="s">
        <v>81</v>
      </c>
      <c r="O16" s="84"/>
      <c r="P16" s="84"/>
      <c r="Q16" s="85"/>
      <c r="R16" s="85"/>
      <c r="S16" s="85"/>
      <c r="T16" s="85"/>
      <c r="U16" s="85"/>
      <c r="V16" s="85"/>
      <c r="W16" s="85"/>
      <c r="X16" s="85"/>
      <c r="Y16" s="85"/>
      <c r="Z16" s="85"/>
      <c r="AA16" s="85"/>
      <c r="AB16" s="85"/>
      <c r="AC16" s="85"/>
      <c r="AD16" s="85"/>
      <c r="AE16" s="85"/>
      <c r="AF16" s="85"/>
      <c r="AG16" s="85"/>
      <c r="AH16" s="85"/>
      <c r="AI16" s="95"/>
      <c r="AJ16" s="95"/>
      <c r="AK16" s="95"/>
    </row>
    <row r="17" spans="1:37" ht="177" customHeight="1">
      <c r="A17" s="103"/>
      <c r="B17" s="87" t="s">
        <v>73</v>
      </c>
      <c r="C17" s="97"/>
      <c r="D17" s="98"/>
      <c r="E17" s="76"/>
      <c r="F17" s="106">
        <f t="shared" ref="F17:F19" si="0">F16+5</f>
        <v>2040</v>
      </c>
      <c r="G17" s="100" t="s">
        <v>82</v>
      </c>
      <c r="H17" s="95"/>
      <c r="I17" s="80"/>
      <c r="J17" s="80" t="s">
        <v>63</v>
      </c>
      <c r="K17" s="81">
        <v>850</v>
      </c>
      <c r="L17" s="81"/>
      <c r="M17" s="101">
        <f>(65*K17)+(K17*70)+(K17*15)</f>
        <v>127500</v>
      </c>
      <c r="N17" s="102" t="s">
        <v>83</v>
      </c>
      <c r="O17" s="84"/>
      <c r="P17" s="84"/>
      <c r="Q17" s="85"/>
      <c r="R17" s="85"/>
      <c r="S17" s="85"/>
      <c r="T17" s="85"/>
      <c r="U17" s="85"/>
      <c r="V17" s="85"/>
      <c r="W17" s="85"/>
      <c r="X17" s="85"/>
      <c r="Y17" s="85"/>
      <c r="Z17" s="85"/>
      <c r="AA17" s="85"/>
      <c r="AB17" s="85"/>
      <c r="AC17" s="85"/>
      <c r="AD17" s="85"/>
      <c r="AE17" s="85"/>
      <c r="AF17" s="85"/>
      <c r="AG17" s="85"/>
      <c r="AH17" s="85"/>
      <c r="AI17" s="95"/>
      <c r="AJ17" s="95"/>
      <c r="AK17" s="95"/>
    </row>
    <row r="18" spans="1:37" ht="150.75" customHeight="1">
      <c r="A18" s="103"/>
      <c r="B18" s="87" t="s">
        <v>73</v>
      </c>
      <c r="C18" s="97"/>
      <c r="D18" s="98"/>
      <c r="E18" s="76"/>
      <c r="F18" s="106">
        <f t="shared" si="0"/>
        <v>2045</v>
      </c>
      <c r="G18" s="100" t="s">
        <v>84</v>
      </c>
      <c r="H18" s="107"/>
      <c r="I18" s="80"/>
      <c r="J18" s="80" t="s">
        <v>69</v>
      </c>
      <c r="K18" s="81">
        <v>850</v>
      </c>
      <c r="L18" s="81"/>
      <c r="M18" s="101">
        <f>(65*K18)+(K18*15)</f>
        <v>68000</v>
      </c>
      <c r="N18" s="102" t="s">
        <v>85</v>
      </c>
      <c r="O18" s="84"/>
      <c r="P18" s="84"/>
      <c r="Q18" s="85"/>
      <c r="R18" s="85"/>
      <c r="S18" s="85"/>
      <c r="T18" s="85"/>
      <c r="U18" s="85"/>
      <c r="V18" s="85"/>
      <c r="W18" s="85"/>
      <c r="X18" s="85"/>
      <c r="Y18" s="85"/>
      <c r="Z18" s="85"/>
      <c r="AA18" s="85"/>
      <c r="AB18" s="85"/>
      <c r="AC18" s="85"/>
      <c r="AD18" s="85"/>
      <c r="AE18" s="85"/>
      <c r="AF18" s="85"/>
      <c r="AG18" s="85"/>
      <c r="AH18" s="85"/>
      <c r="AI18" s="95"/>
      <c r="AJ18" s="95"/>
      <c r="AK18" s="95"/>
    </row>
    <row r="19" spans="1:37" ht="177.75" customHeight="1">
      <c r="A19" s="103"/>
      <c r="B19" s="87" t="s">
        <v>73</v>
      </c>
      <c r="C19" s="97"/>
      <c r="D19" s="98"/>
      <c r="E19" s="76"/>
      <c r="F19" s="106">
        <f t="shared" si="0"/>
        <v>2050</v>
      </c>
      <c r="G19" s="100" t="s">
        <v>86</v>
      </c>
      <c r="H19" s="107"/>
      <c r="I19" s="80"/>
      <c r="J19" s="80" t="s">
        <v>63</v>
      </c>
      <c r="K19" s="81">
        <v>850</v>
      </c>
      <c r="L19" s="81"/>
      <c r="M19" s="101">
        <f>(65*K19)+(K19*70)+(K19*15)</f>
        <v>127500</v>
      </c>
      <c r="N19" s="102" t="s">
        <v>87</v>
      </c>
      <c r="O19" s="84"/>
      <c r="P19" s="84"/>
      <c r="Q19" s="85"/>
      <c r="R19" s="85"/>
      <c r="S19" s="85"/>
      <c r="T19" s="85"/>
      <c r="U19" s="85"/>
      <c r="V19" s="85"/>
      <c r="W19" s="85"/>
      <c r="X19" s="85"/>
      <c r="Y19" s="85"/>
      <c r="Z19" s="85"/>
      <c r="AA19" s="85"/>
      <c r="AB19" s="85"/>
      <c r="AC19" s="85"/>
      <c r="AD19" s="85"/>
      <c r="AE19" s="85"/>
      <c r="AF19" s="85"/>
      <c r="AG19" s="85"/>
      <c r="AH19" s="85"/>
      <c r="AI19" s="95"/>
      <c r="AJ19" s="95"/>
      <c r="AK19" s="95"/>
    </row>
    <row r="20" spans="1:37" ht="108.75" customHeight="1">
      <c r="A20" s="103"/>
      <c r="B20" s="87" t="s">
        <v>73</v>
      </c>
      <c r="C20" s="97"/>
      <c r="D20" s="98"/>
      <c r="E20" s="76" t="s">
        <v>88</v>
      </c>
      <c r="F20" s="77">
        <v>2023</v>
      </c>
      <c r="G20" s="90" t="s">
        <v>89</v>
      </c>
      <c r="H20" s="106"/>
      <c r="I20" s="80"/>
      <c r="J20" s="80" t="s">
        <v>63</v>
      </c>
      <c r="K20" s="81">
        <v>178</v>
      </c>
      <c r="L20" s="81">
        <v>350</v>
      </c>
      <c r="M20" s="101">
        <f>L20*K20+5000</f>
        <v>67300</v>
      </c>
      <c r="N20" s="94" t="s">
        <v>90</v>
      </c>
      <c r="O20" s="84"/>
      <c r="P20" s="84"/>
      <c r="Q20" s="85"/>
      <c r="R20" s="85"/>
      <c r="S20" s="85"/>
      <c r="T20" s="85"/>
      <c r="U20" s="85"/>
      <c r="V20" s="85"/>
      <c r="W20" s="85"/>
      <c r="X20" s="85"/>
      <c r="Y20" s="85"/>
      <c r="Z20" s="85"/>
      <c r="AA20" s="85"/>
      <c r="AB20" s="85"/>
      <c r="AC20" s="85"/>
      <c r="AD20" s="85"/>
      <c r="AE20" s="85"/>
      <c r="AF20" s="85"/>
      <c r="AG20" s="85"/>
      <c r="AH20" s="85"/>
      <c r="AI20" s="95"/>
      <c r="AJ20" s="95"/>
      <c r="AK20" s="95"/>
    </row>
    <row r="21" spans="1:37" ht="129" customHeight="1">
      <c r="A21" s="103"/>
      <c r="B21" s="87" t="s">
        <v>73</v>
      </c>
      <c r="C21" s="97"/>
      <c r="D21" s="98"/>
      <c r="E21" s="76"/>
      <c r="F21" s="77"/>
      <c r="G21" s="84" t="s">
        <v>91</v>
      </c>
      <c r="H21" s="99">
        <v>2030</v>
      </c>
      <c r="I21" s="79"/>
      <c r="J21" s="80" t="s">
        <v>69</v>
      </c>
      <c r="K21" s="81">
        <v>178</v>
      </c>
      <c r="L21" s="81">
        <v>2000</v>
      </c>
      <c r="M21" s="82">
        <f>L21*K21+(10000)</f>
        <v>366000</v>
      </c>
      <c r="N21" s="108" t="s">
        <v>92</v>
      </c>
      <c r="O21" s="84"/>
      <c r="P21" s="84"/>
      <c r="Q21" s="85"/>
      <c r="R21" s="85"/>
      <c r="S21" s="85"/>
      <c r="T21" s="85"/>
      <c r="U21" s="85"/>
      <c r="V21" s="85"/>
      <c r="W21" s="85"/>
      <c r="X21" s="85"/>
      <c r="Y21" s="85"/>
      <c r="Z21" s="85"/>
      <c r="AA21" s="85"/>
      <c r="AB21" s="85"/>
      <c r="AC21" s="85"/>
      <c r="AD21" s="85"/>
      <c r="AE21" s="85"/>
      <c r="AF21" s="85"/>
      <c r="AG21" s="85"/>
      <c r="AH21" s="85"/>
      <c r="AI21" s="95"/>
      <c r="AJ21" s="95"/>
      <c r="AK21" s="95"/>
    </row>
    <row r="22" spans="1:37" ht="105.75" customHeight="1">
      <c r="A22" s="103"/>
      <c r="B22" s="87" t="s">
        <v>73</v>
      </c>
      <c r="C22" s="97"/>
      <c r="D22" s="98"/>
      <c r="E22" s="76"/>
      <c r="F22" s="77">
        <f>H21+15</f>
        <v>2045</v>
      </c>
      <c r="G22" s="90" t="s">
        <v>89</v>
      </c>
      <c r="H22" s="106"/>
      <c r="I22" s="80"/>
      <c r="J22" s="80" t="s">
        <v>69</v>
      </c>
      <c r="K22" s="81">
        <v>178</v>
      </c>
      <c r="L22" s="81">
        <v>350</v>
      </c>
      <c r="M22" s="101">
        <f>L22*K22+5000</f>
        <v>67300</v>
      </c>
      <c r="N22" s="94" t="s">
        <v>93</v>
      </c>
      <c r="O22" s="84"/>
      <c r="P22" s="84"/>
      <c r="Q22" s="85"/>
      <c r="R22" s="85"/>
      <c r="S22" s="85"/>
      <c r="T22" s="85"/>
      <c r="U22" s="85"/>
      <c r="V22" s="85"/>
      <c r="W22" s="85"/>
      <c r="X22" s="85"/>
      <c r="Y22" s="85"/>
      <c r="Z22" s="85"/>
      <c r="AA22" s="85"/>
      <c r="AB22" s="85"/>
      <c r="AC22" s="85"/>
      <c r="AD22" s="85"/>
      <c r="AE22" s="85"/>
      <c r="AF22" s="85"/>
      <c r="AG22" s="85"/>
      <c r="AH22" s="85"/>
      <c r="AI22" s="95"/>
      <c r="AJ22" s="95"/>
      <c r="AK22" s="95"/>
    </row>
    <row r="23" spans="1:37" ht="54" customHeight="1">
      <c r="A23" s="103"/>
      <c r="B23" s="87" t="s">
        <v>73</v>
      </c>
      <c r="C23" s="97"/>
      <c r="D23" s="98"/>
      <c r="E23" s="76" t="s">
        <v>94</v>
      </c>
      <c r="F23" s="77"/>
      <c r="G23" s="78" t="s">
        <v>95</v>
      </c>
      <c r="H23" s="99">
        <f>2036</f>
        <v>2036</v>
      </c>
      <c r="I23" s="79"/>
      <c r="J23" s="80" t="s">
        <v>69</v>
      </c>
      <c r="K23" s="81">
        <v>25</v>
      </c>
      <c r="L23" s="81">
        <v>900</v>
      </c>
      <c r="M23" s="101">
        <f>L23*K23+3000</f>
        <v>25500</v>
      </c>
      <c r="N23" s="109" t="s">
        <v>96</v>
      </c>
      <c r="O23" s="84"/>
      <c r="P23" s="84"/>
      <c r="Q23" s="85"/>
      <c r="R23" s="85"/>
      <c r="S23" s="85"/>
      <c r="T23" s="85"/>
      <c r="U23" s="85"/>
      <c r="V23" s="85"/>
      <c r="W23" s="85"/>
      <c r="X23" s="85"/>
      <c r="Y23" s="85"/>
      <c r="Z23" s="85"/>
      <c r="AA23" s="85"/>
      <c r="AB23" s="85"/>
      <c r="AC23" s="85"/>
      <c r="AD23" s="85"/>
      <c r="AE23" s="85"/>
      <c r="AF23" s="85"/>
      <c r="AG23" s="85"/>
      <c r="AH23" s="85"/>
      <c r="AI23" s="95"/>
      <c r="AJ23" s="95"/>
      <c r="AK23" s="95"/>
    </row>
    <row r="24" spans="1:37" ht="102" customHeight="1">
      <c r="A24" s="86" t="s">
        <v>97</v>
      </c>
      <c r="B24" s="110" t="s">
        <v>98</v>
      </c>
      <c r="C24" s="111"/>
      <c r="D24" s="112"/>
      <c r="E24" s="76" t="s">
        <v>99</v>
      </c>
      <c r="F24" s="77">
        <v>2030</v>
      </c>
      <c r="G24" s="110" t="s">
        <v>100</v>
      </c>
      <c r="H24" s="113"/>
      <c r="I24" s="81"/>
      <c r="J24" s="80" t="s">
        <v>69</v>
      </c>
      <c r="K24" s="81">
        <v>2016</v>
      </c>
      <c r="L24" s="81">
        <v>250</v>
      </c>
      <c r="M24" s="101">
        <f t="shared" ref="M24:M25" si="1">L24*K24</f>
        <v>504000</v>
      </c>
      <c r="N24" s="110" t="s">
        <v>101</v>
      </c>
      <c r="O24" s="84"/>
      <c r="P24" s="84"/>
      <c r="Q24" s="85"/>
      <c r="R24" s="85"/>
      <c r="S24" s="85"/>
      <c r="T24" s="85"/>
      <c r="U24" s="85"/>
      <c r="V24" s="85"/>
      <c r="W24" s="85"/>
      <c r="X24" s="85"/>
      <c r="Y24" s="85"/>
      <c r="Z24" s="85"/>
      <c r="AA24" s="85"/>
      <c r="AB24" s="85"/>
      <c r="AC24" s="85"/>
      <c r="AD24" s="85"/>
      <c r="AE24" s="85"/>
      <c r="AF24" s="85"/>
      <c r="AG24" s="85"/>
      <c r="AH24" s="85"/>
      <c r="AI24" s="95"/>
      <c r="AJ24" s="95"/>
      <c r="AK24" s="95"/>
    </row>
    <row r="25" spans="1:37" ht="91.5" customHeight="1">
      <c r="A25" s="86"/>
      <c r="B25" s="110" t="s">
        <v>98</v>
      </c>
      <c r="C25" s="111"/>
      <c r="D25" s="112"/>
      <c r="E25" s="76" t="s">
        <v>102</v>
      </c>
      <c r="F25" s="77">
        <f>2040</f>
        <v>2040</v>
      </c>
      <c r="G25" s="110" t="s">
        <v>100</v>
      </c>
      <c r="H25" s="113"/>
      <c r="I25" s="114"/>
      <c r="J25" s="80" t="s">
        <v>69</v>
      </c>
      <c r="K25" s="81">
        <v>2016</v>
      </c>
      <c r="L25" s="81">
        <v>250</v>
      </c>
      <c r="M25" s="101">
        <f t="shared" si="1"/>
        <v>504000</v>
      </c>
      <c r="N25" s="110" t="s">
        <v>103</v>
      </c>
      <c r="O25" s="84"/>
      <c r="P25" s="84"/>
      <c r="Q25" s="85"/>
      <c r="R25" s="85"/>
      <c r="S25" s="85"/>
      <c r="T25" s="85"/>
      <c r="U25" s="85"/>
      <c r="V25" s="85"/>
      <c r="W25" s="85"/>
      <c r="X25" s="85"/>
      <c r="Y25" s="85"/>
      <c r="Z25" s="85"/>
      <c r="AA25" s="85"/>
      <c r="AB25" s="85"/>
      <c r="AC25" s="85"/>
      <c r="AD25" s="85"/>
      <c r="AE25" s="85"/>
      <c r="AF25" s="85"/>
      <c r="AG25" s="85"/>
      <c r="AH25" s="85"/>
      <c r="AI25" s="95"/>
      <c r="AJ25" s="95"/>
      <c r="AK25" s="95"/>
    </row>
    <row r="26" spans="1:37" ht="248.25" customHeight="1">
      <c r="A26" s="115" t="s">
        <v>104</v>
      </c>
      <c r="B26" s="110" t="s">
        <v>105</v>
      </c>
      <c r="C26" s="116"/>
      <c r="D26" s="117"/>
      <c r="E26" s="118" t="s">
        <v>106</v>
      </c>
      <c r="F26" s="119"/>
      <c r="G26" s="110" t="s">
        <v>107</v>
      </c>
      <c r="H26" s="119">
        <v>2030</v>
      </c>
      <c r="I26" s="120"/>
      <c r="J26" s="80"/>
      <c r="K26" s="91"/>
      <c r="L26" s="81"/>
      <c r="M26" s="121">
        <f>32550+43750+37500+15000+9000+5000+81620+40000</f>
        <v>264420</v>
      </c>
      <c r="N26" s="104" t="s">
        <v>108</v>
      </c>
      <c r="O26" s="84"/>
      <c r="P26" s="84"/>
      <c r="Q26" s="122"/>
      <c r="R26" s="85"/>
      <c r="S26" s="85"/>
      <c r="T26" s="85"/>
      <c r="U26" s="85"/>
      <c r="V26" s="85"/>
      <c r="W26" s="85"/>
      <c r="X26" s="85"/>
      <c r="Y26" s="85"/>
      <c r="Z26" s="85"/>
      <c r="AA26" s="85"/>
      <c r="AB26" s="85"/>
      <c r="AC26" s="85"/>
      <c r="AD26" s="85"/>
      <c r="AE26" s="85"/>
      <c r="AF26" s="85"/>
      <c r="AG26" s="85"/>
      <c r="AH26" s="85"/>
      <c r="AI26" s="85"/>
      <c r="AJ26" s="85"/>
      <c r="AK26" s="85"/>
    </row>
    <row r="27" spans="1:37" ht="168" customHeight="1">
      <c r="A27" s="115"/>
      <c r="B27" s="110" t="s">
        <v>105</v>
      </c>
      <c r="C27" s="116"/>
      <c r="D27" s="117"/>
      <c r="E27" s="118"/>
      <c r="F27" s="99">
        <f>H26+15</f>
        <v>2045</v>
      </c>
      <c r="G27" s="110" t="s">
        <v>109</v>
      </c>
      <c r="H27" s="119"/>
      <c r="I27" s="120"/>
      <c r="J27" s="80" t="s">
        <v>110</v>
      </c>
      <c r="K27" s="91">
        <v>80</v>
      </c>
      <c r="L27" s="81">
        <v>688</v>
      </c>
      <c r="M27" s="101">
        <f>(K27*L27)+20000</f>
        <v>75040</v>
      </c>
      <c r="N27" s="110" t="s">
        <v>111</v>
      </c>
      <c r="O27" s="84"/>
      <c r="P27" s="84"/>
      <c r="Q27" s="122"/>
      <c r="R27" s="85"/>
      <c r="S27" s="85"/>
      <c r="T27" s="85"/>
      <c r="U27" s="85"/>
      <c r="V27" s="85"/>
      <c r="W27" s="85"/>
      <c r="X27" s="85"/>
      <c r="Y27" s="85"/>
      <c r="Z27" s="85"/>
      <c r="AA27" s="85"/>
      <c r="AB27" s="85"/>
      <c r="AC27" s="85"/>
      <c r="AD27" s="85"/>
      <c r="AE27" s="85"/>
      <c r="AF27" s="85"/>
      <c r="AG27" s="85"/>
      <c r="AH27" s="85"/>
      <c r="AI27" s="85"/>
      <c r="AJ27" s="85"/>
      <c r="AK27" s="85"/>
    </row>
    <row r="28" spans="1:37" ht="108.75" customHeight="1">
      <c r="A28" s="123" t="s">
        <v>112</v>
      </c>
      <c r="B28" s="87" t="s">
        <v>113</v>
      </c>
      <c r="C28" s="88"/>
      <c r="D28" s="89"/>
      <c r="E28" s="76" t="s">
        <v>114</v>
      </c>
      <c r="F28" s="124"/>
      <c r="G28" s="87" t="s">
        <v>115</v>
      </c>
      <c r="H28" s="106">
        <v>2030</v>
      </c>
      <c r="I28" s="80"/>
      <c r="J28" s="125" t="s">
        <v>116</v>
      </c>
      <c r="K28" s="81">
        <v>183</v>
      </c>
      <c r="L28" s="126">
        <v>327</v>
      </c>
      <c r="M28" s="127">
        <f>(L28*K28)+(688*80)+(4500*10)</f>
        <v>159881</v>
      </c>
      <c r="N28" s="87" t="s">
        <v>117</v>
      </c>
      <c r="O28" s="84"/>
      <c r="P28" s="84"/>
      <c r="Q28" s="95"/>
      <c r="R28" s="95"/>
      <c r="S28" s="95"/>
      <c r="T28" s="95"/>
      <c r="U28" s="95"/>
      <c r="V28" s="95"/>
      <c r="W28" s="95"/>
      <c r="X28" s="85"/>
      <c r="Y28" s="85"/>
      <c r="Z28" s="85"/>
      <c r="AA28" s="85"/>
      <c r="AB28" s="85"/>
      <c r="AC28" s="85"/>
      <c r="AD28" s="85"/>
      <c r="AE28" s="85"/>
      <c r="AF28" s="85"/>
      <c r="AG28" s="85"/>
      <c r="AH28" s="85"/>
      <c r="AI28" s="95"/>
      <c r="AJ28" s="95"/>
      <c r="AK28" s="95"/>
    </row>
    <row r="29" spans="1:37" ht="117.75" customHeight="1">
      <c r="A29" s="123" t="s">
        <v>118</v>
      </c>
      <c r="B29" s="110" t="s">
        <v>119</v>
      </c>
      <c r="C29" s="97"/>
      <c r="D29" s="98"/>
      <c r="E29" s="76" t="s">
        <v>114</v>
      </c>
      <c r="F29" s="99"/>
      <c r="G29" s="110" t="s">
        <v>120</v>
      </c>
      <c r="H29" s="106">
        <v>2030</v>
      </c>
      <c r="I29" s="91" t="s">
        <v>77</v>
      </c>
      <c r="J29" s="80" t="s">
        <v>116</v>
      </c>
      <c r="K29" s="91">
        <v>76</v>
      </c>
      <c r="L29" s="81">
        <v>610</v>
      </c>
      <c r="M29" s="101">
        <f>(K29*L29)+(48*688)+(1150*8)</f>
        <v>88584</v>
      </c>
      <c r="N29" s="87" t="s">
        <v>121</v>
      </c>
      <c r="O29" s="84"/>
      <c r="P29" s="84"/>
      <c r="Q29" s="85"/>
      <c r="R29" s="85"/>
      <c r="S29" s="85"/>
      <c r="T29" s="85"/>
      <c r="U29" s="85"/>
      <c r="V29" s="85"/>
      <c r="W29" s="85"/>
      <c r="X29" s="85"/>
      <c r="Y29" s="85"/>
      <c r="Z29" s="85"/>
      <c r="AA29" s="85"/>
      <c r="AB29" s="85"/>
      <c r="AC29" s="85"/>
      <c r="AD29" s="85"/>
      <c r="AE29" s="85"/>
      <c r="AF29" s="85"/>
      <c r="AG29" s="85"/>
      <c r="AH29" s="85"/>
      <c r="AI29" s="85"/>
      <c r="AJ29" s="85"/>
      <c r="AK29" s="85"/>
    </row>
    <row r="30" spans="1:37" ht="96" customHeight="1">
      <c r="A30" s="123" t="s">
        <v>122</v>
      </c>
      <c r="B30" s="87" t="s">
        <v>123</v>
      </c>
      <c r="C30" s="111"/>
      <c r="D30" s="112"/>
      <c r="E30" s="76" t="s">
        <v>114</v>
      </c>
      <c r="F30" s="90"/>
      <c r="G30" s="78" t="s">
        <v>124</v>
      </c>
      <c r="H30" s="99">
        <v>2030</v>
      </c>
      <c r="I30" s="128"/>
      <c r="J30" s="91" t="s">
        <v>116</v>
      </c>
      <c r="K30" s="81">
        <v>61.5</v>
      </c>
      <c r="L30" s="91">
        <f>100+60</f>
        <v>160</v>
      </c>
      <c r="M30" s="101">
        <f>L30*K30</f>
        <v>9840</v>
      </c>
      <c r="N30" s="94" t="s">
        <v>125</v>
      </c>
      <c r="O30" s="84"/>
      <c r="P30" s="84"/>
      <c r="Q30" s="95"/>
      <c r="R30" s="95"/>
      <c r="S30" s="95"/>
      <c r="T30" s="95"/>
      <c r="U30" s="95"/>
      <c r="V30" s="95"/>
      <c r="W30" s="95"/>
      <c r="X30" s="85"/>
      <c r="Y30" s="85"/>
      <c r="Z30" s="85"/>
      <c r="AA30" s="85"/>
      <c r="AB30" s="85"/>
      <c r="AC30" s="85"/>
      <c r="AD30" s="85"/>
      <c r="AE30" s="85"/>
      <c r="AF30" s="85"/>
      <c r="AG30" s="85"/>
      <c r="AH30" s="85"/>
      <c r="AI30" s="95"/>
      <c r="AJ30" s="95"/>
      <c r="AK30" s="95"/>
    </row>
    <row r="31" spans="1:37" ht="54" customHeight="1">
      <c r="A31" s="129" t="s">
        <v>126</v>
      </c>
      <c r="B31" s="130" t="s">
        <v>127</v>
      </c>
      <c r="C31" s="131"/>
      <c r="D31" s="132"/>
      <c r="E31" s="133"/>
      <c r="F31" s="130"/>
      <c r="G31" s="130"/>
      <c r="H31" s="130"/>
      <c r="I31" s="130"/>
      <c r="J31" s="130"/>
      <c r="K31" s="130"/>
      <c r="L31" s="130"/>
      <c r="M31" s="134"/>
      <c r="N31" s="130"/>
      <c r="O31" s="135"/>
      <c r="P31" s="135"/>
    </row>
    <row r="32" spans="1:37" ht="64.5" customHeight="1">
      <c r="A32" s="115" t="s">
        <v>128</v>
      </c>
      <c r="B32" s="136" t="s">
        <v>129</v>
      </c>
      <c r="C32" s="137"/>
      <c r="D32" s="138"/>
      <c r="E32" s="139" t="s">
        <v>130</v>
      </c>
      <c r="F32" s="140">
        <f>2017+10</f>
        <v>2027</v>
      </c>
      <c r="G32" s="94" t="s">
        <v>131</v>
      </c>
      <c r="H32" s="128"/>
      <c r="I32" s="79"/>
      <c r="J32" s="80" t="s">
        <v>63</v>
      </c>
      <c r="K32" s="80">
        <v>968</v>
      </c>
      <c r="L32" s="81">
        <v>373</v>
      </c>
      <c r="M32" s="101">
        <f>L32*K32</f>
        <v>361064</v>
      </c>
      <c r="N32" s="109" t="s">
        <v>132</v>
      </c>
      <c r="O32" s="84"/>
      <c r="P32" s="84"/>
      <c r="Q32" s="85"/>
      <c r="R32" s="85"/>
      <c r="S32" s="85"/>
      <c r="T32" s="85"/>
      <c r="U32" s="85"/>
      <c r="V32" s="85"/>
      <c r="W32" s="85"/>
      <c r="X32" s="85"/>
      <c r="Y32" s="85"/>
      <c r="Z32" s="85"/>
      <c r="AA32" s="85"/>
      <c r="AB32" s="85"/>
      <c r="AC32" s="85"/>
      <c r="AD32" s="85"/>
      <c r="AE32" s="85"/>
      <c r="AF32" s="85"/>
      <c r="AG32" s="85"/>
      <c r="AH32" s="85"/>
      <c r="AI32" s="85"/>
      <c r="AJ32" s="85"/>
      <c r="AK32" s="85"/>
    </row>
    <row r="33" spans="1:37" ht="55.5" customHeight="1">
      <c r="A33" s="115"/>
      <c r="B33" s="136" t="s">
        <v>129</v>
      </c>
      <c r="C33" s="137"/>
      <c r="D33" s="138"/>
      <c r="E33" s="139" t="s">
        <v>130</v>
      </c>
      <c r="F33" s="99"/>
      <c r="G33" s="73" t="s">
        <v>133</v>
      </c>
      <c r="H33" s="99">
        <v>2040</v>
      </c>
      <c r="I33" s="92"/>
      <c r="J33" s="80" t="s">
        <v>63</v>
      </c>
      <c r="K33" s="80">
        <v>968</v>
      </c>
      <c r="L33" s="81">
        <v>2000</v>
      </c>
      <c r="M33" s="82">
        <f>L33*K33+(30000)</f>
        <v>1966000</v>
      </c>
      <c r="N33" s="83" t="s">
        <v>134</v>
      </c>
      <c r="O33" s="84"/>
      <c r="P33" s="84"/>
      <c r="Q33" s="85"/>
      <c r="R33" s="85"/>
      <c r="S33" s="85"/>
      <c r="T33" s="85"/>
      <c r="U33" s="85"/>
      <c r="V33" s="85"/>
      <c r="W33" s="85"/>
      <c r="X33" s="85"/>
      <c r="Y33" s="85"/>
      <c r="Z33" s="85"/>
      <c r="AA33" s="85"/>
      <c r="AB33" s="85"/>
      <c r="AC33" s="85"/>
      <c r="AD33" s="85"/>
      <c r="AE33" s="85"/>
      <c r="AF33" s="85"/>
      <c r="AG33" s="85"/>
      <c r="AH33" s="85"/>
      <c r="AI33" s="85"/>
      <c r="AJ33" s="85"/>
      <c r="AK33" s="85"/>
    </row>
    <row r="34" spans="1:37" ht="69" customHeight="1">
      <c r="A34" s="141"/>
      <c r="B34" s="136" t="s">
        <v>129</v>
      </c>
      <c r="C34" s="137"/>
      <c r="D34" s="138"/>
      <c r="E34" s="139" t="s">
        <v>135</v>
      </c>
      <c r="F34" s="99">
        <v>2024</v>
      </c>
      <c r="G34" s="94" t="s">
        <v>136</v>
      </c>
      <c r="H34" s="128"/>
      <c r="I34" s="79"/>
      <c r="J34" s="80" t="s">
        <v>63</v>
      </c>
      <c r="K34" s="80">
        <v>35</v>
      </c>
      <c r="L34" s="81">
        <v>373</v>
      </c>
      <c r="M34" s="101">
        <f t="shared" ref="M34:M36" si="2">L34*K34</f>
        <v>13055</v>
      </c>
      <c r="N34" s="109" t="s">
        <v>137</v>
      </c>
      <c r="O34" s="84"/>
      <c r="P34" s="84"/>
      <c r="Q34" s="85"/>
      <c r="R34" s="85"/>
      <c r="S34" s="85"/>
      <c r="T34" s="85"/>
      <c r="U34" s="85"/>
      <c r="V34" s="85"/>
      <c r="W34" s="85"/>
      <c r="X34" s="85"/>
      <c r="Y34" s="85"/>
      <c r="Z34" s="85"/>
      <c r="AA34" s="85"/>
      <c r="AB34" s="85"/>
      <c r="AC34" s="85"/>
      <c r="AD34" s="85"/>
      <c r="AE34" s="85"/>
      <c r="AF34" s="85"/>
      <c r="AG34" s="85"/>
      <c r="AH34" s="85"/>
      <c r="AI34" s="85"/>
      <c r="AJ34" s="85"/>
      <c r="AK34" s="85"/>
    </row>
    <row r="35" spans="1:37" ht="63.75" customHeight="1">
      <c r="A35" s="141"/>
      <c r="B35" s="136" t="s">
        <v>129</v>
      </c>
      <c r="C35" s="137"/>
      <c r="D35" s="138"/>
      <c r="E35" s="139" t="s">
        <v>135</v>
      </c>
      <c r="F35" s="99">
        <f t="shared" ref="F35:F36" si="3">F34+12</f>
        <v>2036</v>
      </c>
      <c r="G35" s="94" t="s">
        <v>138</v>
      </c>
      <c r="H35" s="128"/>
      <c r="I35" s="79"/>
      <c r="J35" s="80" t="s">
        <v>63</v>
      </c>
      <c r="K35" s="80">
        <v>35</v>
      </c>
      <c r="L35" s="81">
        <v>373</v>
      </c>
      <c r="M35" s="101">
        <f t="shared" si="2"/>
        <v>13055</v>
      </c>
      <c r="N35" s="109" t="s">
        <v>137</v>
      </c>
      <c r="O35" s="84"/>
      <c r="P35" s="84"/>
      <c r="Q35" s="85"/>
      <c r="R35" s="85"/>
      <c r="S35" s="85"/>
      <c r="T35" s="85"/>
      <c r="U35" s="85"/>
      <c r="V35" s="85"/>
      <c r="W35" s="85"/>
      <c r="X35" s="85"/>
      <c r="Y35" s="85"/>
      <c r="Z35" s="85"/>
      <c r="AA35" s="85"/>
      <c r="AB35" s="85"/>
      <c r="AC35" s="85"/>
      <c r="AD35" s="85"/>
      <c r="AE35" s="85"/>
      <c r="AF35" s="85"/>
      <c r="AG35" s="85"/>
      <c r="AH35" s="85"/>
      <c r="AI35" s="85"/>
      <c r="AJ35" s="85"/>
      <c r="AK35" s="85"/>
    </row>
    <row r="36" spans="1:37" ht="60" customHeight="1">
      <c r="A36" s="141"/>
      <c r="B36" s="136" t="s">
        <v>129</v>
      </c>
      <c r="C36" s="137"/>
      <c r="D36" s="138"/>
      <c r="E36" s="139" t="s">
        <v>135</v>
      </c>
      <c r="F36" s="99">
        <f t="shared" si="3"/>
        <v>2048</v>
      </c>
      <c r="G36" s="94" t="s">
        <v>139</v>
      </c>
      <c r="H36" s="128"/>
      <c r="I36" s="79"/>
      <c r="J36" s="80" t="s">
        <v>63</v>
      </c>
      <c r="K36" s="80">
        <v>35</v>
      </c>
      <c r="L36" s="81">
        <v>373</v>
      </c>
      <c r="M36" s="101">
        <f t="shared" si="2"/>
        <v>13055</v>
      </c>
      <c r="N36" s="109" t="s">
        <v>137</v>
      </c>
      <c r="O36" s="84"/>
      <c r="P36" s="84"/>
      <c r="Q36" s="85"/>
      <c r="R36" s="85"/>
      <c r="S36" s="85"/>
      <c r="T36" s="85"/>
      <c r="U36" s="85"/>
      <c r="V36" s="85"/>
      <c r="W36" s="85"/>
      <c r="X36" s="85"/>
      <c r="Y36" s="85"/>
      <c r="Z36" s="85"/>
      <c r="AA36" s="85"/>
      <c r="AB36" s="85"/>
      <c r="AC36" s="85"/>
      <c r="AD36" s="85"/>
      <c r="AE36" s="85"/>
      <c r="AF36" s="85"/>
      <c r="AG36" s="85"/>
      <c r="AH36" s="85"/>
      <c r="AI36" s="85"/>
      <c r="AJ36" s="85"/>
      <c r="AK36" s="85"/>
    </row>
    <row r="37" spans="1:37" ht="172.5" customHeight="1">
      <c r="A37" s="142" t="s">
        <v>140</v>
      </c>
      <c r="B37" s="136" t="s">
        <v>141</v>
      </c>
      <c r="C37" s="116"/>
      <c r="D37" s="117"/>
      <c r="E37" s="118" t="s">
        <v>142</v>
      </c>
      <c r="F37" s="106">
        <f>2013+12</f>
        <v>2025</v>
      </c>
      <c r="G37" s="94" t="s">
        <v>143</v>
      </c>
      <c r="H37" s="90"/>
      <c r="I37" s="80"/>
      <c r="J37" s="80" t="s">
        <v>144</v>
      </c>
      <c r="K37" s="91">
        <v>161</v>
      </c>
      <c r="L37" s="81">
        <v>500</v>
      </c>
      <c r="M37" s="101">
        <f t="shared" ref="M37:M39" si="4">L37*K37+(10000)</f>
        <v>90500</v>
      </c>
      <c r="N37" s="94" t="s">
        <v>145</v>
      </c>
      <c r="O37" s="143"/>
      <c r="P37" s="84"/>
      <c r="Q37" s="144"/>
      <c r="R37" s="85"/>
      <c r="S37" s="85"/>
      <c r="T37" s="85"/>
      <c r="U37" s="85"/>
      <c r="V37" s="85"/>
      <c r="W37" s="85"/>
      <c r="X37" s="85"/>
      <c r="Y37" s="85"/>
      <c r="Z37" s="85"/>
      <c r="AA37" s="85"/>
      <c r="AB37" s="85"/>
      <c r="AC37" s="85"/>
      <c r="AD37" s="85"/>
      <c r="AE37" s="85"/>
      <c r="AF37" s="85"/>
      <c r="AG37" s="85"/>
      <c r="AH37" s="85"/>
      <c r="AI37" s="85"/>
      <c r="AJ37" s="85"/>
      <c r="AK37" s="85"/>
    </row>
    <row r="38" spans="1:37" ht="171.75" customHeight="1">
      <c r="A38" s="142"/>
      <c r="B38" s="136" t="s">
        <v>141</v>
      </c>
      <c r="C38" s="116"/>
      <c r="D38" s="117"/>
      <c r="E38" s="145"/>
      <c r="F38" s="106">
        <f>F37+12</f>
        <v>2037</v>
      </c>
      <c r="G38" s="94" t="s">
        <v>143</v>
      </c>
      <c r="H38" s="90"/>
      <c r="I38" s="80"/>
      <c r="J38" s="80" t="s">
        <v>144</v>
      </c>
      <c r="K38" s="91">
        <v>161</v>
      </c>
      <c r="L38" s="81">
        <v>500</v>
      </c>
      <c r="M38" s="101">
        <f t="shared" si="4"/>
        <v>90500</v>
      </c>
      <c r="N38" s="94" t="s">
        <v>145</v>
      </c>
      <c r="O38" s="84"/>
      <c r="P38" s="84"/>
      <c r="Q38" s="144"/>
      <c r="R38" s="85"/>
      <c r="S38" s="85"/>
      <c r="T38" s="85"/>
      <c r="U38" s="85"/>
      <c r="V38" s="85"/>
      <c r="W38" s="85"/>
      <c r="X38" s="85"/>
      <c r="Y38" s="85"/>
      <c r="Z38" s="85"/>
      <c r="AA38" s="85"/>
      <c r="AB38" s="85"/>
      <c r="AC38" s="85"/>
      <c r="AD38" s="85"/>
      <c r="AE38" s="85"/>
      <c r="AF38" s="85"/>
      <c r="AG38" s="85"/>
      <c r="AH38" s="85"/>
      <c r="AI38" s="85"/>
      <c r="AJ38" s="85"/>
      <c r="AK38" s="85"/>
    </row>
    <row r="39" spans="1:37" ht="171.75" customHeight="1">
      <c r="A39" s="142"/>
      <c r="B39" s="136" t="s">
        <v>141</v>
      </c>
      <c r="C39" s="116"/>
      <c r="D39" s="117"/>
      <c r="E39" s="145"/>
      <c r="F39" s="106">
        <f>F38+13</f>
        <v>2050</v>
      </c>
      <c r="G39" s="94" t="s">
        <v>143</v>
      </c>
      <c r="H39" s="90"/>
      <c r="I39" s="80"/>
      <c r="J39" s="80" t="s">
        <v>144</v>
      </c>
      <c r="K39" s="91">
        <v>161</v>
      </c>
      <c r="L39" s="81">
        <v>500</v>
      </c>
      <c r="M39" s="101">
        <f t="shared" si="4"/>
        <v>90500</v>
      </c>
      <c r="N39" s="94" t="s">
        <v>145</v>
      </c>
      <c r="O39" s="84"/>
      <c r="P39" s="84"/>
      <c r="Q39" s="144"/>
      <c r="R39" s="85"/>
      <c r="S39" s="85"/>
      <c r="T39" s="85"/>
      <c r="U39" s="85"/>
      <c r="V39" s="85"/>
      <c r="W39" s="85"/>
      <c r="X39" s="85"/>
      <c r="Y39" s="85"/>
      <c r="Z39" s="85"/>
      <c r="AA39" s="85"/>
      <c r="AB39" s="85"/>
      <c r="AC39" s="85"/>
      <c r="AD39" s="85"/>
      <c r="AE39" s="85"/>
      <c r="AF39" s="85"/>
      <c r="AG39" s="85"/>
      <c r="AH39" s="85"/>
      <c r="AI39" s="85"/>
      <c r="AJ39" s="85"/>
      <c r="AK39" s="85"/>
    </row>
    <row r="40" spans="1:37" ht="217.5" customHeight="1">
      <c r="A40" s="146" t="s">
        <v>146</v>
      </c>
      <c r="B40" s="136" t="s">
        <v>147</v>
      </c>
      <c r="C40" s="116"/>
      <c r="D40" s="117"/>
      <c r="E40" s="147" t="s">
        <v>148</v>
      </c>
      <c r="F40" s="106">
        <f>2025</f>
        <v>2025</v>
      </c>
      <c r="G40" s="94" t="s">
        <v>149</v>
      </c>
      <c r="H40" s="90"/>
      <c r="I40" s="92"/>
      <c r="J40" s="80" t="s">
        <v>144</v>
      </c>
      <c r="K40" s="91">
        <v>2</v>
      </c>
      <c r="L40" s="81">
        <f t="shared" ref="L40:L41" si="5">550*1.25</f>
        <v>687.5</v>
      </c>
      <c r="M40" s="101">
        <f t="shared" ref="M40:M41" si="6">((16*L40)+(4000))*K40+3500</f>
        <v>33500</v>
      </c>
      <c r="N40" s="94" t="s">
        <v>150</v>
      </c>
      <c r="O40" s="84"/>
      <c r="P40" s="84"/>
      <c r="Q40" s="144"/>
      <c r="R40" s="85"/>
      <c r="S40" s="85"/>
      <c r="T40" s="85"/>
      <c r="U40" s="85"/>
      <c r="V40" s="85"/>
      <c r="W40" s="85"/>
      <c r="X40" s="85"/>
      <c r="Y40" s="85"/>
      <c r="Z40" s="85"/>
      <c r="AA40" s="85"/>
      <c r="AB40" s="85"/>
      <c r="AC40" s="85"/>
      <c r="AD40" s="85"/>
      <c r="AE40" s="85"/>
      <c r="AF40" s="85"/>
      <c r="AG40" s="85"/>
      <c r="AH40" s="85"/>
      <c r="AI40" s="85"/>
      <c r="AJ40" s="85"/>
      <c r="AK40" s="85"/>
    </row>
    <row r="41" spans="1:37" ht="186" customHeight="1">
      <c r="A41" s="148"/>
      <c r="B41" s="136" t="s">
        <v>147</v>
      </c>
      <c r="C41" s="149"/>
      <c r="D41" s="150"/>
      <c r="E41" s="151"/>
      <c r="F41" s="106">
        <f>F40+15</f>
        <v>2040</v>
      </c>
      <c r="G41" s="94" t="s">
        <v>151</v>
      </c>
      <c r="H41" s="90"/>
      <c r="I41" s="92"/>
      <c r="J41" s="80" t="s">
        <v>144</v>
      </c>
      <c r="K41" s="91">
        <v>2</v>
      </c>
      <c r="L41" s="81">
        <f t="shared" si="5"/>
        <v>687.5</v>
      </c>
      <c r="M41" s="101">
        <f t="shared" si="6"/>
        <v>33500</v>
      </c>
      <c r="N41" s="94" t="s">
        <v>152</v>
      </c>
      <c r="O41" s="152"/>
      <c r="P41" s="152"/>
      <c r="Q41" s="153"/>
      <c r="R41" s="154"/>
      <c r="S41" s="154"/>
      <c r="T41" s="154"/>
      <c r="U41" s="154"/>
      <c r="V41" s="154"/>
      <c r="W41" s="154"/>
      <c r="X41" s="154"/>
      <c r="Y41" s="154"/>
      <c r="Z41" s="154"/>
      <c r="AA41" s="154"/>
      <c r="AB41" s="154"/>
      <c r="AC41" s="154"/>
      <c r="AD41" s="154"/>
      <c r="AE41" s="154"/>
      <c r="AF41" s="154"/>
      <c r="AG41" s="154"/>
      <c r="AH41" s="154"/>
      <c r="AI41" s="154"/>
      <c r="AJ41" s="154"/>
      <c r="AK41" s="154"/>
    </row>
    <row r="42" spans="1:37" ht="39.75" customHeight="1">
      <c r="A42" s="155" t="s">
        <v>153</v>
      </c>
      <c r="B42" s="130" t="s">
        <v>154</v>
      </c>
      <c r="C42" s="156"/>
      <c r="D42" s="157"/>
      <c r="E42" s="158"/>
      <c r="F42" s="158"/>
      <c r="G42" s="159"/>
      <c r="H42" s="158"/>
      <c r="I42" s="130"/>
      <c r="J42" s="130"/>
      <c r="K42" s="130"/>
      <c r="L42" s="158"/>
      <c r="M42" s="134"/>
      <c r="N42" s="130"/>
      <c r="O42" s="135"/>
      <c r="P42" s="135"/>
      <c r="Q42" s="160"/>
    </row>
    <row r="43" spans="1:37" ht="144" customHeight="1">
      <c r="A43" s="161" t="s">
        <v>155</v>
      </c>
      <c r="B43" s="94" t="s">
        <v>156</v>
      </c>
      <c r="C43" s="74"/>
      <c r="D43" s="75"/>
      <c r="E43" s="118" t="s">
        <v>157</v>
      </c>
      <c r="F43" s="99" t="s">
        <v>158</v>
      </c>
      <c r="G43" s="94" t="s">
        <v>159</v>
      </c>
      <c r="H43" s="90"/>
      <c r="I43" s="92"/>
      <c r="J43" s="80" t="s">
        <v>144</v>
      </c>
      <c r="K43" s="91">
        <v>3</v>
      </c>
      <c r="L43" s="81">
        <f>630+500</f>
        <v>1130</v>
      </c>
      <c r="M43" s="82">
        <f>L43*K43</f>
        <v>3390</v>
      </c>
      <c r="N43" s="94" t="s">
        <v>160</v>
      </c>
      <c r="O43" s="84"/>
      <c r="P43" s="84"/>
      <c r="Q43" s="144"/>
      <c r="R43" s="85"/>
      <c r="S43" s="85"/>
      <c r="T43" s="85"/>
      <c r="U43" s="85"/>
      <c r="V43" s="85"/>
      <c r="W43" s="85"/>
      <c r="X43" s="85"/>
      <c r="Y43" s="85"/>
      <c r="Z43" s="85"/>
      <c r="AA43" s="85"/>
      <c r="AB43" s="85"/>
      <c r="AC43" s="85"/>
      <c r="AD43" s="85"/>
      <c r="AE43" s="85"/>
      <c r="AF43" s="85"/>
      <c r="AG43" s="85"/>
      <c r="AH43" s="85"/>
      <c r="AI43" s="85"/>
      <c r="AJ43" s="85"/>
      <c r="AK43" s="85"/>
    </row>
    <row r="44" spans="1:37" ht="90" customHeight="1">
      <c r="A44" s="161"/>
      <c r="B44" s="94" t="s">
        <v>156</v>
      </c>
      <c r="C44" s="74"/>
      <c r="D44" s="75"/>
      <c r="E44" s="118" t="s">
        <v>161</v>
      </c>
      <c r="F44" s="99"/>
      <c r="G44" s="94" t="s">
        <v>162</v>
      </c>
      <c r="H44" s="99">
        <v>2035</v>
      </c>
      <c r="I44" s="92"/>
      <c r="J44" s="80" t="s">
        <v>144</v>
      </c>
      <c r="K44" s="91">
        <v>3</v>
      </c>
      <c r="L44" s="81">
        <v>30000</v>
      </c>
      <c r="M44" s="82">
        <f>K44*L44+(688*24)</f>
        <v>106512</v>
      </c>
      <c r="N44" s="94" t="s">
        <v>163</v>
      </c>
      <c r="O44" s="84"/>
      <c r="P44" s="84"/>
      <c r="Q44" s="144"/>
      <c r="R44" s="85"/>
      <c r="S44" s="85" t="s">
        <v>77</v>
      </c>
      <c r="T44" s="85"/>
      <c r="U44" s="85"/>
      <c r="V44" s="85"/>
      <c r="W44" s="85"/>
      <c r="X44" s="85"/>
      <c r="Y44" s="85"/>
      <c r="Z44" s="85"/>
      <c r="AA44" s="85"/>
      <c r="AB44" s="85"/>
      <c r="AC44" s="85"/>
      <c r="AD44" s="85"/>
      <c r="AE44" s="85"/>
      <c r="AF44" s="85"/>
      <c r="AG44" s="85"/>
      <c r="AH44" s="85"/>
      <c r="AI44" s="85"/>
      <c r="AJ44" s="85"/>
      <c r="AK44" s="85"/>
    </row>
    <row r="45" spans="1:37" ht="90" hidden="1" customHeight="1">
      <c r="A45" s="162" t="s">
        <v>164</v>
      </c>
      <c r="B45" s="163" t="s">
        <v>165</v>
      </c>
      <c r="C45" s="164"/>
      <c r="D45" s="165"/>
      <c r="E45" s="166" t="s">
        <v>166</v>
      </c>
      <c r="F45" s="167">
        <v>2031</v>
      </c>
      <c r="G45" s="168" t="s">
        <v>167</v>
      </c>
      <c r="H45" s="169"/>
      <c r="I45" s="170"/>
      <c r="J45" s="171" t="s">
        <v>144</v>
      </c>
      <c r="K45" s="171">
        <v>10</v>
      </c>
      <c r="L45" s="172">
        <f t="shared" ref="L45:L46" si="7">1500+630</f>
        <v>2130</v>
      </c>
      <c r="M45" s="173">
        <f t="shared" ref="M45:M46" si="8">L45*K45</f>
        <v>21300</v>
      </c>
      <c r="N45" s="174" t="s">
        <v>168</v>
      </c>
      <c r="O45" s="1"/>
      <c r="P45" s="1"/>
      <c r="Q45" s="1"/>
      <c r="R45" s="1"/>
      <c r="S45" s="1"/>
      <c r="T45" s="1"/>
      <c r="U45" s="1"/>
      <c r="V45" s="1"/>
      <c r="W45" s="1"/>
      <c r="X45" s="1"/>
      <c r="Y45" s="1"/>
      <c r="Z45" s="1"/>
      <c r="AA45" s="1"/>
      <c r="AB45" s="1"/>
      <c r="AC45" s="1"/>
      <c r="AD45" s="1"/>
      <c r="AE45" s="1"/>
      <c r="AF45" s="1"/>
      <c r="AG45" s="1"/>
      <c r="AH45" s="1"/>
      <c r="AI45" s="1"/>
      <c r="AJ45" s="1"/>
      <c r="AK45" s="1"/>
    </row>
    <row r="46" spans="1:37" ht="90" hidden="1" customHeight="1">
      <c r="A46" s="162"/>
      <c r="B46" s="163" t="s">
        <v>165</v>
      </c>
      <c r="C46" s="164"/>
      <c r="D46" s="165"/>
      <c r="E46" s="175" t="s">
        <v>169</v>
      </c>
      <c r="F46" s="167">
        <f>F45+15</f>
        <v>2046</v>
      </c>
      <c r="G46" s="168" t="s">
        <v>170</v>
      </c>
      <c r="H46" s="169"/>
      <c r="I46" s="170"/>
      <c r="J46" s="171" t="s">
        <v>144</v>
      </c>
      <c r="K46" s="171">
        <v>10</v>
      </c>
      <c r="L46" s="172">
        <f t="shared" si="7"/>
        <v>2130</v>
      </c>
      <c r="M46" s="173">
        <f t="shared" si="8"/>
        <v>21300</v>
      </c>
      <c r="N46" s="174" t="s">
        <v>168</v>
      </c>
      <c r="O46" s="1"/>
      <c r="P46" s="1"/>
      <c r="Q46" s="1"/>
      <c r="R46" s="1"/>
      <c r="S46" s="1"/>
      <c r="T46" s="1"/>
      <c r="U46" s="1"/>
      <c r="V46" s="1"/>
      <c r="W46" s="1"/>
      <c r="X46" s="1"/>
      <c r="Y46" s="1"/>
      <c r="Z46" s="1"/>
      <c r="AA46" s="1"/>
      <c r="AB46" s="1"/>
      <c r="AC46" s="1"/>
      <c r="AD46" s="1"/>
      <c r="AE46" s="1"/>
      <c r="AF46" s="1"/>
      <c r="AG46" s="1"/>
      <c r="AH46" s="1"/>
      <c r="AI46" s="1"/>
      <c r="AJ46" s="1"/>
      <c r="AK46" s="1"/>
    </row>
    <row r="47" spans="1:37" ht="43.5" hidden="1" customHeight="1">
      <c r="A47" s="176" t="s">
        <v>164</v>
      </c>
      <c r="B47" s="177" t="s">
        <v>165</v>
      </c>
      <c r="C47" s="178"/>
      <c r="D47" s="179"/>
      <c r="E47" s="180" t="s">
        <v>171</v>
      </c>
      <c r="F47" s="181"/>
      <c r="G47" s="182"/>
      <c r="H47" s="183"/>
      <c r="I47" s="184"/>
      <c r="J47" s="184"/>
      <c r="K47" s="185"/>
      <c r="L47" s="186"/>
      <c r="M47" s="187"/>
      <c r="N47" s="180" t="s">
        <v>172</v>
      </c>
      <c r="O47" s="1"/>
      <c r="P47" s="1"/>
      <c r="Q47" s="188"/>
      <c r="R47" s="1"/>
    </row>
    <row r="48" spans="1:37" ht="123" customHeight="1">
      <c r="A48" s="189" t="s">
        <v>173</v>
      </c>
      <c r="B48" s="110" t="s">
        <v>174</v>
      </c>
      <c r="C48" s="111"/>
      <c r="D48" s="112"/>
      <c r="E48" s="76" t="s">
        <v>175</v>
      </c>
      <c r="F48" s="77" t="s">
        <v>158</v>
      </c>
      <c r="G48" s="94" t="s">
        <v>159</v>
      </c>
      <c r="H48" s="99"/>
      <c r="I48" s="80"/>
      <c r="J48" s="80" t="s">
        <v>144</v>
      </c>
      <c r="K48" s="91">
        <v>10</v>
      </c>
      <c r="L48" s="81">
        <f>630+500</f>
        <v>1130</v>
      </c>
      <c r="M48" s="101">
        <f t="shared" ref="M48:M53" si="9">L48*K48</f>
        <v>11300</v>
      </c>
      <c r="N48" s="94" t="s">
        <v>176</v>
      </c>
      <c r="O48" s="84"/>
      <c r="P48" s="84"/>
      <c r="Q48" s="144"/>
      <c r="R48" s="85"/>
      <c r="S48" s="85"/>
      <c r="T48" s="85"/>
      <c r="U48" s="85"/>
      <c r="V48" s="85"/>
      <c r="W48" s="85"/>
      <c r="X48" s="85"/>
      <c r="Y48" s="85"/>
      <c r="Z48" s="85"/>
      <c r="AA48" s="85"/>
      <c r="AB48" s="85"/>
      <c r="AC48" s="85"/>
      <c r="AD48" s="85"/>
      <c r="AE48" s="85"/>
      <c r="AF48" s="85"/>
      <c r="AG48" s="85"/>
      <c r="AH48" s="85"/>
      <c r="AI48" s="85"/>
      <c r="AJ48" s="85"/>
      <c r="AK48" s="85"/>
    </row>
    <row r="49" spans="1:37" ht="135" customHeight="1">
      <c r="A49" s="176"/>
      <c r="B49" s="182" t="s">
        <v>174</v>
      </c>
      <c r="C49" s="190"/>
      <c r="D49" s="191"/>
      <c r="E49" s="192" t="s">
        <v>177</v>
      </c>
      <c r="F49" s="193"/>
      <c r="G49" s="194" t="s">
        <v>178</v>
      </c>
      <c r="H49" s="181">
        <v>2030</v>
      </c>
      <c r="I49" s="184"/>
      <c r="J49" s="184" t="s">
        <v>144</v>
      </c>
      <c r="K49" s="184">
        <v>10</v>
      </c>
      <c r="L49" s="186">
        <v>12000</v>
      </c>
      <c r="M49" s="195">
        <f t="shared" si="9"/>
        <v>120000</v>
      </c>
      <c r="N49" s="196" t="s">
        <v>179</v>
      </c>
      <c r="O49" s="197"/>
      <c r="P49" s="197"/>
      <c r="Q49" s="198"/>
      <c r="R49" s="1"/>
    </row>
    <row r="50" spans="1:37" ht="97.5" customHeight="1">
      <c r="A50" s="189"/>
      <c r="B50" s="110" t="s">
        <v>174</v>
      </c>
      <c r="C50" s="111"/>
      <c r="D50" s="112"/>
      <c r="E50" s="76" t="s">
        <v>180</v>
      </c>
      <c r="F50" s="77"/>
      <c r="G50" s="94" t="s">
        <v>181</v>
      </c>
      <c r="H50" s="99">
        <v>2035</v>
      </c>
      <c r="I50" s="91"/>
      <c r="J50" s="80" t="s">
        <v>144</v>
      </c>
      <c r="K50" s="91">
        <v>32</v>
      </c>
      <c r="L50" s="81">
        <v>12000</v>
      </c>
      <c r="M50" s="199">
        <f t="shared" si="9"/>
        <v>384000</v>
      </c>
      <c r="N50" s="104" t="s">
        <v>182</v>
      </c>
      <c r="O50" s="84"/>
      <c r="P50" s="84"/>
      <c r="Q50" s="144"/>
      <c r="R50" s="85"/>
      <c r="S50" s="85"/>
      <c r="T50" s="85"/>
      <c r="U50" s="85"/>
      <c r="V50" s="85"/>
      <c r="W50" s="85"/>
      <c r="X50" s="85"/>
      <c r="Y50" s="85"/>
      <c r="Z50" s="85"/>
      <c r="AA50" s="85"/>
      <c r="AB50" s="85"/>
      <c r="AC50" s="85"/>
      <c r="AD50" s="85"/>
      <c r="AE50" s="85"/>
      <c r="AF50" s="85"/>
      <c r="AG50" s="85"/>
      <c r="AH50" s="85"/>
      <c r="AI50" s="85"/>
      <c r="AJ50" s="85"/>
      <c r="AK50" s="85"/>
    </row>
    <row r="51" spans="1:37" ht="58.5" customHeight="1">
      <c r="A51" s="189"/>
      <c r="B51" s="110" t="s">
        <v>174</v>
      </c>
      <c r="C51" s="111"/>
      <c r="D51" s="112"/>
      <c r="E51" s="76" t="s">
        <v>183</v>
      </c>
      <c r="F51" s="200"/>
      <c r="G51" s="78" t="s">
        <v>184</v>
      </c>
      <c r="H51" s="99">
        <v>2027</v>
      </c>
      <c r="I51" s="80"/>
      <c r="J51" s="80" t="s">
        <v>144</v>
      </c>
      <c r="K51" s="80">
        <v>18</v>
      </c>
      <c r="L51" s="81">
        <v>25000</v>
      </c>
      <c r="M51" s="82">
        <f t="shared" si="9"/>
        <v>450000</v>
      </c>
      <c r="N51" s="109" t="s">
        <v>185</v>
      </c>
      <c r="O51" s="84"/>
      <c r="P51" s="84"/>
      <c r="Q51" s="144"/>
      <c r="R51" s="85"/>
      <c r="S51" s="85"/>
      <c r="T51" s="85"/>
      <c r="U51" s="85"/>
      <c r="V51" s="85"/>
      <c r="W51" s="85"/>
      <c r="X51" s="85"/>
      <c r="Y51" s="85"/>
      <c r="Z51" s="85"/>
      <c r="AA51" s="85"/>
      <c r="AB51" s="85"/>
      <c r="AC51" s="85"/>
      <c r="AD51" s="85"/>
      <c r="AE51" s="85"/>
      <c r="AF51" s="85"/>
      <c r="AG51" s="85"/>
      <c r="AH51" s="85"/>
      <c r="AI51" s="85"/>
      <c r="AJ51" s="85"/>
      <c r="AK51" s="85"/>
    </row>
    <row r="52" spans="1:37" ht="99" customHeight="1">
      <c r="A52" s="189"/>
      <c r="B52" s="110" t="s">
        <v>174</v>
      </c>
      <c r="C52" s="111"/>
      <c r="D52" s="112"/>
      <c r="E52" s="76" t="s">
        <v>180</v>
      </c>
      <c r="F52" s="77">
        <f>H50+12</f>
        <v>2047</v>
      </c>
      <c r="G52" s="94" t="s">
        <v>186</v>
      </c>
      <c r="H52" s="90"/>
      <c r="I52" s="80"/>
      <c r="J52" s="80" t="s">
        <v>144</v>
      </c>
      <c r="K52" s="91">
        <v>32</v>
      </c>
      <c r="L52" s="81">
        <f>1500+630</f>
        <v>2130</v>
      </c>
      <c r="M52" s="101">
        <f t="shared" si="9"/>
        <v>68160</v>
      </c>
      <c r="N52" s="104" t="s">
        <v>187</v>
      </c>
      <c r="O52" s="84"/>
      <c r="P52" s="84"/>
      <c r="Q52" s="144"/>
      <c r="R52" s="85"/>
      <c r="S52" s="85"/>
      <c r="T52" s="85"/>
      <c r="U52" s="85"/>
      <c r="V52" s="85"/>
      <c r="W52" s="85"/>
      <c r="X52" s="85"/>
      <c r="Y52" s="85"/>
      <c r="Z52" s="85"/>
      <c r="AA52" s="85"/>
      <c r="AB52" s="85"/>
      <c r="AC52" s="85"/>
      <c r="AD52" s="85"/>
      <c r="AE52" s="85"/>
      <c r="AF52" s="85"/>
      <c r="AG52" s="85"/>
      <c r="AH52" s="85"/>
      <c r="AI52" s="85"/>
      <c r="AJ52" s="85"/>
      <c r="AK52" s="85"/>
    </row>
    <row r="53" spans="1:37" ht="90" customHeight="1">
      <c r="A53" s="189"/>
      <c r="B53" s="110" t="s">
        <v>174</v>
      </c>
      <c r="C53" s="111"/>
      <c r="D53" s="112"/>
      <c r="E53" s="76" t="s">
        <v>183</v>
      </c>
      <c r="F53" s="77">
        <f>H51+15</f>
        <v>2042</v>
      </c>
      <c r="G53" s="78" t="s">
        <v>188</v>
      </c>
      <c r="H53" s="90"/>
      <c r="I53" s="80"/>
      <c r="J53" s="80" t="s">
        <v>144</v>
      </c>
      <c r="K53" s="80">
        <v>18</v>
      </c>
      <c r="L53" s="81">
        <f>1500+630</f>
        <v>2130</v>
      </c>
      <c r="M53" s="82">
        <f t="shared" si="9"/>
        <v>38340</v>
      </c>
      <c r="N53" s="201" t="s">
        <v>168</v>
      </c>
      <c r="O53" s="84"/>
      <c r="P53" s="84"/>
      <c r="Q53" s="95"/>
      <c r="R53" s="85"/>
      <c r="S53" s="85"/>
      <c r="T53" s="85"/>
      <c r="U53" s="85"/>
      <c r="V53" s="85"/>
      <c r="W53" s="85"/>
      <c r="X53" s="85"/>
      <c r="Y53" s="85"/>
      <c r="Z53" s="85"/>
      <c r="AA53" s="85"/>
      <c r="AB53" s="85"/>
      <c r="AC53" s="85"/>
      <c r="AD53" s="85"/>
      <c r="AE53" s="85"/>
      <c r="AF53" s="85"/>
      <c r="AG53" s="85"/>
      <c r="AH53" s="85"/>
      <c r="AI53" s="85"/>
      <c r="AJ53" s="85"/>
      <c r="AK53" s="85"/>
    </row>
    <row r="54" spans="1:37" ht="30" customHeight="1">
      <c r="A54" s="202" t="s">
        <v>189</v>
      </c>
      <c r="B54" s="182" t="s">
        <v>190</v>
      </c>
      <c r="C54" s="190"/>
      <c r="D54" s="191"/>
      <c r="E54" s="180" t="s">
        <v>191</v>
      </c>
      <c r="F54" s="203"/>
      <c r="G54" s="194"/>
      <c r="H54" s="183"/>
      <c r="I54" s="184"/>
      <c r="J54" s="184"/>
      <c r="K54" s="184"/>
      <c r="L54" s="186"/>
      <c r="M54" s="195"/>
      <c r="N54" s="204"/>
      <c r="O54" s="135"/>
      <c r="P54" s="135"/>
    </row>
    <row r="55" spans="1:37" ht="54" customHeight="1">
      <c r="A55" s="202" t="s">
        <v>192</v>
      </c>
      <c r="B55" s="205" t="s">
        <v>193</v>
      </c>
      <c r="C55" s="206"/>
      <c r="D55" s="207"/>
      <c r="E55" s="208" t="s">
        <v>194</v>
      </c>
      <c r="F55" s="181"/>
      <c r="G55" s="209"/>
      <c r="H55" s="205"/>
      <c r="I55" s="185"/>
      <c r="J55" s="185"/>
      <c r="K55" s="185"/>
      <c r="L55" s="186"/>
      <c r="M55" s="187"/>
      <c r="N55" s="208" t="s">
        <v>195</v>
      </c>
      <c r="O55" s="197"/>
      <c r="P55" s="197"/>
      <c r="R55" s="1"/>
      <c r="S55" s="1"/>
      <c r="T55" s="1"/>
      <c r="U55" s="1"/>
      <c r="V55" s="1"/>
      <c r="W55" s="1"/>
      <c r="X55" s="1"/>
      <c r="Y55" s="1"/>
      <c r="Z55" s="1"/>
      <c r="AA55" s="1"/>
      <c r="AB55" s="1"/>
      <c r="AC55" s="1"/>
      <c r="AD55" s="1"/>
      <c r="AE55" s="1"/>
      <c r="AF55" s="1"/>
      <c r="AG55" s="1"/>
      <c r="AH55" s="1"/>
      <c r="AI55" s="1"/>
      <c r="AJ55" s="1"/>
      <c r="AK55" s="1"/>
    </row>
    <row r="56" spans="1:37" ht="22.5" customHeight="1">
      <c r="A56" s="129" t="s">
        <v>196</v>
      </c>
      <c r="B56" s="210" t="s">
        <v>197</v>
      </c>
      <c r="C56" s="190"/>
      <c r="D56" s="191"/>
      <c r="E56" s="211"/>
      <c r="F56" s="211"/>
      <c r="G56" s="211"/>
      <c r="H56" s="211"/>
      <c r="I56" s="212"/>
      <c r="J56" s="212"/>
      <c r="K56" s="70"/>
      <c r="L56" s="213"/>
      <c r="M56" s="214"/>
      <c r="N56" s="70"/>
      <c r="O56" s="197"/>
      <c r="P56" s="197"/>
    </row>
    <row r="57" spans="1:37" ht="24" customHeight="1">
      <c r="A57" s="129" t="s">
        <v>198</v>
      </c>
      <c r="B57" s="210" t="s">
        <v>199</v>
      </c>
      <c r="C57" s="190"/>
      <c r="D57" s="191"/>
      <c r="E57" s="211"/>
      <c r="F57" s="211"/>
      <c r="G57" s="211"/>
      <c r="H57" s="211"/>
      <c r="I57" s="212"/>
      <c r="J57" s="212"/>
      <c r="K57" s="70"/>
      <c r="L57" s="213"/>
      <c r="M57" s="214"/>
      <c r="N57" s="70"/>
      <c r="O57" s="197"/>
      <c r="P57" s="197"/>
    </row>
    <row r="58" spans="1:37" ht="37.5" customHeight="1">
      <c r="A58" s="215" t="s">
        <v>200</v>
      </c>
      <c r="B58" s="182" t="s">
        <v>201</v>
      </c>
      <c r="C58" s="190"/>
      <c r="D58" s="191"/>
      <c r="E58" s="193" t="s">
        <v>202</v>
      </c>
      <c r="F58" s="181"/>
      <c r="G58" s="182"/>
      <c r="H58" s="205"/>
      <c r="I58" s="184"/>
      <c r="J58" s="184"/>
      <c r="K58" s="186"/>
      <c r="L58" s="186"/>
      <c r="M58" s="216"/>
      <c r="N58" s="217"/>
      <c r="O58" s="197"/>
      <c r="P58" s="197"/>
      <c r="Q58" s="71"/>
      <c r="R58" s="198"/>
    </row>
    <row r="59" spans="1:37" ht="75" customHeight="1">
      <c r="A59" s="218" t="s">
        <v>203</v>
      </c>
      <c r="B59" s="110" t="s">
        <v>204</v>
      </c>
      <c r="C59" s="111"/>
      <c r="D59" s="112"/>
      <c r="E59" s="76"/>
      <c r="F59" s="99">
        <v>2026</v>
      </c>
      <c r="G59" s="110" t="s">
        <v>205</v>
      </c>
      <c r="H59" s="219"/>
      <c r="I59" s="80"/>
      <c r="J59" s="80" t="s">
        <v>110</v>
      </c>
      <c r="K59" s="91">
        <v>32</v>
      </c>
      <c r="L59" s="81">
        <f t="shared" ref="L59:L60" si="10">550*1.25</f>
        <v>687.5</v>
      </c>
      <c r="M59" s="220">
        <f t="shared" ref="M59:M60" si="11">(L59*K59)+(2000)</f>
        <v>24000</v>
      </c>
      <c r="N59" s="221" t="s">
        <v>206</v>
      </c>
      <c r="O59" s="84"/>
      <c r="P59" s="84"/>
      <c r="Q59" s="95"/>
      <c r="R59" s="95"/>
      <c r="S59" s="95"/>
      <c r="T59" s="85"/>
      <c r="U59" s="85"/>
      <c r="V59" s="85"/>
      <c r="W59" s="85"/>
      <c r="X59" s="85"/>
      <c r="Y59" s="85"/>
      <c r="Z59" s="85"/>
      <c r="AA59" s="85"/>
      <c r="AB59" s="85"/>
      <c r="AC59" s="85"/>
      <c r="AD59" s="85"/>
      <c r="AE59" s="85"/>
      <c r="AF59" s="85"/>
      <c r="AG59" s="85"/>
      <c r="AH59" s="85"/>
      <c r="AI59" s="85"/>
      <c r="AJ59" s="85"/>
      <c r="AK59" s="85"/>
    </row>
    <row r="60" spans="1:37" ht="78.75" customHeight="1">
      <c r="A60" s="218"/>
      <c r="B60" s="110" t="s">
        <v>204</v>
      </c>
      <c r="C60" s="111"/>
      <c r="D60" s="112"/>
      <c r="E60" s="222"/>
      <c r="F60" s="99">
        <f>F59+20</f>
        <v>2046</v>
      </c>
      <c r="G60" s="110" t="s">
        <v>205</v>
      </c>
      <c r="H60" s="219"/>
      <c r="I60" s="80"/>
      <c r="J60" s="80" t="s">
        <v>110</v>
      </c>
      <c r="K60" s="91">
        <v>32</v>
      </c>
      <c r="L60" s="81">
        <f t="shared" si="10"/>
        <v>687.5</v>
      </c>
      <c r="M60" s="220">
        <f t="shared" si="11"/>
        <v>24000</v>
      </c>
      <c r="N60" s="221" t="s">
        <v>206</v>
      </c>
      <c r="O60" s="84"/>
      <c r="P60" s="84"/>
      <c r="Q60" s="95"/>
      <c r="R60" s="95"/>
      <c r="S60" s="95"/>
      <c r="T60" s="85"/>
      <c r="U60" s="85"/>
      <c r="V60" s="85"/>
      <c r="W60" s="85"/>
      <c r="X60" s="85"/>
      <c r="Y60" s="85"/>
      <c r="Z60" s="85"/>
      <c r="AA60" s="85"/>
      <c r="AB60" s="85"/>
      <c r="AC60" s="85"/>
      <c r="AD60" s="85"/>
      <c r="AE60" s="85"/>
      <c r="AF60" s="85"/>
      <c r="AG60" s="85"/>
      <c r="AH60" s="85"/>
      <c r="AI60" s="85"/>
      <c r="AJ60" s="85"/>
      <c r="AK60" s="85"/>
    </row>
    <row r="61" spans="1:37" ht="33" customHeight="1">
      <c r="A61" s="129" t="s">
        <v>200</v>
      </c>
      <c r="B61" s="130" t="s">
        <v>207</v>
      </c>
      <c r="C61" s="190"/>
      <c r="D61" s="191"/>
      <c r="E61" s="223"/>
      <c r="F61" s="211"/>
      <c r="G61" s="211"/>
      <c r="H61" s="224"/>
      <c r="I61" s="212"/>
      <c r="J61" s="212"/>
      <c r="K61" s="70"/>
      <c r="L61" s="213"/>
      <c r="M61" s="214"/>
      <c r="N61" s="225"/>
      <c r="O61" s="226"/>
      <c r="P61" s="197"/>
      <c r="R61" s="1"/>
      <c r="S61" s="1"/>
      <c r="T61" s="1"/>
      <c r="U61" s="1"/>
    </row>
    <row r="62" spans="1:37" ht="148.5" customHeight="1">
      <c r="A62" s="115" t="s">
        <v>208</v>
      </c>
      <c r="B62" s="110" t="s">
        <v>209</v>
      </c>
      <c r="C62" s="111"/>
      <c r="D62" s="112"/>
      <c r="E62" s="118" t="s">
        <v>210</v>
      </c>
      <c r="F62" s="99">
        <f>2031</f>
        <v>2031</v>
      </c>
      <c r="G62" s="94" t="s">
        <v>211</v>
      </c>
      <c r="H62" s="90"/>
      <c r="I62" s="92"/>
      <c r="J62" s="80" t="s">
        <v>110</v>
      </c>
      <c r="K62" s="80">
        <f t="shared" ref="K62:K63" si="12">40*3</f>
        <v>120</v>
      </c>
      <c r="L62" s="80">
        <f t="shared" ref="L62:L65" si="13">550*1.25</f>
        <v>687.5</v>
      </c>
      <c r="M62" s="82">
        <f t="shared" ref="M62:M63" si="14">L62*K62+(30000)</f>
        <v>112500</v>
      </c>
      <c r="N62" s="94" t="s">
        <v>212</v>
      </c>
      <c r="O62" s="143"/>
      <c r="P62" s="84"/>
      <c r="Q62" s="85" t="s">
        <v>77</v>
      </c>
      <c r="R62" s="85"/>
      <c r="S62" s="85"/>
      <c r="T62" s="85"/>
      <c r="U62" s="85"/>
      <c r="V62" s="85"/>
      <c r="W62" s="85"/>
      <c r="X62" s="85"/>
      <c r="Y62" s="85"/>
      <c r="Z62" s="85"/>
      <c r="AA62" s="85"/>
      <c r="AB62" s="85"/>
      <c r="AC62" s="85"/>
      <c r="AD62" s="85"/>
      <c r="AE62" s="85"/>
      <c r="AF62" s="85"/>
      <c r="AG62" s="85"/>
      <c r="AH62" s="85"/>
      <c r="AI62" s="85"/>
      <c r="AJ62" s="85"/>
      <c r="AK62" s="85"/>
    </row>
    <row r="63" spans="1:37" ht="153.75" customHeight="1">
      <c r="A63" s="115"/>
      <c r="B63" s="110" t="s">
        <v>209</v>
      </c>
      <c r="C63" s="111"/>
      <c r="D63" s="112"/>
      <c r="E63" s="118"/>
      <c r="F63" s="99">
        <f>F62+20</f>
        <v>2051</v>
      </c>
      <c r="G63" s="94" t="s">
        <v>211</v>
      </c>
      <c r="H63" s="90"/>
      <c r="I63" s="92"/>
      <c r="J63" s="80" t="s">
        <v>110</v>
      </c>
      <c r="K63" s="80">
        <f t="shared" si="12"/>
        <v>120</v>
      </c>
      <c r="L63" s="80">
        <f t="shared" si="13"/>
        <v>687.5</v>
      </c>
      <c r="M63" s="82">
        <f t="shared" si="14"/>
        <v>112500</v>
      </c>
      <c r="N63" s="94" t="s">
        <v>212</v>
      </c>
      <c r="O63" s="226"/>
      <c r="P63" s="135"/>
    </row>
    <row r="64" spans="1:37" ht="105" customHeight="1">
      <c r="A64" s="115" t="s">
        <v>213</v>
      </c>
      <c r="B64" s="110" t="s">
        <v>214</v>
      </c>
      <c r="C64" s="111"/>
      <c r="D64" s="112"/>
      <c r="E64" s="227" t="s">
        <v>215</v>
      </c>
      <c r="F64" s="99">
        <v>2032</v>
      </c>
      <c r="G64" s="94" t="s">
        <v>216</v>
      </c>
      <c r="H64" s="91"/>
      <c r="I64" s="92"/>
      <c r="J64" s="80" t="s">
        <v>110</v>
      </c>
      <c r="K64" s="81">
        <v>40</v>
      </c>
      <c r="L64" s="80">
        <f t="shared" si="13"/>
        <v>687.5</v>
      </c>
      <c r="M64" s="82">
        <f t="shared" ref="M64:M65" si="15">L64*K64+3000+5000</f>
        <v>35500</v>
      </c>
      <c r="N64" s="94" t="s">
        <v>217</v>
      </c>
      <c r="O64" s="226"/>
      <c r="P64" s="197"/>
      <c r="Q64" s="1"/>
      <c r="R64" s="1"/>
      <c r="S64" s="1"/>
      <c r="T64" s="1"/>
      <c r="U64" s="1"/>
      <c r="V64" s="1"/>
      <c r="W64" s="1"/>
      <c r="X64" s="1"/>
      <c r="Y64" s="1"/>
      <c r="Z64" s="1"/>
      <c r="AA64" s="1"/>
      <c r="AB64" s="1"/>
      <c r="AC64" s="1"/>
      <c r="AD64" s="1"/>
      <c r="AE64" s="1"/>
      <c r="AF64" s="1"/>
      <c r="AG64" s="1"/>
      <c r="AH64" s="1"/>
      <c r="AI64" s="1"/>
      <c r="AJ64" s="1"/>
      <c r="AK64" s="1"/>
    </row>
    <row r="65" spans="1:37" ht="98.25" customHeight="1">
      <c r="A65" s="115"/>
      <c r="B65" s="110" t="s">
        <v>214</v>
      </c>
      <c r="C65" s="111"/>
      <c r="D65" s="112"/>
      <c r="E65" s="227"/>
      <c r="F65" s="99">
        <f>F64+18</f>
        <v>2050</v>
      </c>
      <c r="G65" s="94" t="s">
        <v>216</v>
      </c>
      <c r="H65" s="228"/>
      <c r="I65" s="92"/>
      <c r="J65" s="80" t="s">
        <v>110</v>
      </c>
      <c r="K65" s="81">
        <v>40</v>
      </c>
      <c r="L65" s="80">
        <f t="shared" si="13"/>
        <v>687.5</v>
      </c>
      <c r="M65" s="82">
        <f t="shared" si="15"/>
        <v>35500</v>
      </c>
      <c r="N65" s="94" t="s">
        <v>217</v>
      </c>
      <c r="O65" s="197"/>
      <c r="P65" s="197"/>
      <c r="Q65" s="1"/>
      <c r="R65" s="1"/>
      <c r="S65" s="1"/>
      <c r="T65" s="1"/>
      <c r="U65" s="1"/>
      <c r="V65" s="1"/>
      <c r="W65" s="1"/>
      <c r="X65" s="1"/>
      <c r="Y65" s="1"/>
      <c r="Z65" s="1"/>
      <c r="AA65" s="1"/>
      <c r="AB65" s="1"/>
      <c r="AC65" s="1"/>
      <c r="AD65" s="1"/>
      <c r="AE65" s="1"/>
      <c r="AF65" s="1"/>
      <c r="AG65" s="1"/>
      <c r="AH65" s="1"/>
      <c r="AI65" s="1"/>
      <c r="AJ65" s="1"/>
      <c r="AK65" s="1"/>
    </row>
    <row r="66" spans="1:37" ht="40.5" customHeight="1">
      <c r="A66" s="115" t="s">
        <v>218</v>
      </c>
      <c r="B66" s="110" t="s">
        <v>219</v>
      </c>
      <c r="C66" s="111"/>
      <c r="D66" s="112"/>
      <c r="E66" s="110"/>
      <c r="F66" s="99"/>
      <c r="G66" s="110"/>
      <c r="H66" s="219"/>
      <c r="I66" s="80"/>
      <c r="J66" s="80"/>
      <c r="K66" s="91"/>
      <c r="L66" s="81"/>
      <c r="M66" s="101"/>
      <c r="N66" s="110"/>
      <c r="O66" s="135"/>
      <c r="P66" s="135"/>
    </row>
    <row r="67" spans="1:37" ht="91.5" customHeight="1">
      <c r="A67" s="142" t="s">
        <v>220</v>
      </c>
      <c r="B67" s="229" t="s">
        <v>221</v>
      </c>
      <c r="C67" s="111"/>
      <c r="D67" s="112"/>
      <c r="E67" s="76" t="s">
        <v>222</v>
      </c>
      <c r="F67" s="99">
        <f t="shared" ref="F67:F69" si="16">2019+20</f>
        <v>2039</v>
      </c>
      <c r="G67" s="73" t="s">
        <v>223</v>
      </c>
      <c r="H67" s="92"/>
      <c r="I67" s="92"/>
      <c r="J67" s="80" t="s">
        <v>110</v>
      </c>
      <c r="K67" s="80">
        <v>40</v>
      </c>
      <c r="L67" s="81">
        <f t="shared" ref="L67:L69" si="17">550*1.25</f>
        <v>687.5</v>
      </c>
      <c r="M67" s="101">
        <f t="shared" ref="M67:M69" si="18">(L67*40)+4000</f>
        <v>31500</v>
      </c>
      <c r="N67" s="221" t="s">
        <v>224</v>
      </c>
      <c r="O67" s="197"/>
      <c r="P67" s="197"/>
      <c r="Q67" s="1"/>
      <c r="R67" s="1"/>
      <c r="S67" s="1"/>
      <c r="T67" s="1"/>
      <c r="U67" s="1"/>
      <c r="V67" s="1"/>
      <c r="W67" s="1"/>
      <c r="X67" s="1"/>
      <c r="Y67" s="1"/>
      <c r="Z67" s="1"/>
      <c r="AA67" s="1"/>
      <c r="AB67" s="1"/>
      <c r="AC67" s="1"/>
      <c r="AD67" s="1"/>
      <c r="AE67" s="1"/>
      <c r="AF67" s="1"/>
      <c r="AG67" s="1"/>
      <c r="AH67" s="1"/>
      <c r="AI67" s="1"/>
      <c r="AJ67" s="1"/>
      <c r="AK67" s="1"/>
    </row>
    <row r="68" spans="1:37" ht="63.75" customHeight="1">
      <c r="A68" s="142" t="s">
        <v>225</v>
      </c>
      <c r="B68" s="110" t="s">
        <v>226</v>
      </c>
      <c r="C68" s="111"/>
      <c r="D68" s="112"/>
      <c r="E68" s="76" t="s">
        <v>227</v>
      </c>
      <c r="F68" s="99">
        <f t="shared" si="16"/>
        <v>2039</v>
      </c>
      <c r="G68" s="73" t="s">
        <v>223</v>
      </c>
      <c r="H68" s="92"/>
      <c r="I68" s="92"/>
      <c r="J68" s="80" t="s">
        <v>110</v>
      </c>
      <c r="K68" s="80">
        <v>40</v>
      </c>
      <c r="L68" s="81">
        <f t="shared" si="17"/>
        <v>687.5</v>
      </c>
      <c r="M68" s="101">
        <f t="shared" si="18"/>
        <v>31500</v>
      </c>
      <c r="N68" s="221" t="s">
        <v>228</v>
      </c>
      <c r="O68" s="197"/>
      <c r="P68" s="197"/>
      <c r="Q68" s="1"/>
      <c r="R68" s="1"/>
      <c r="S68" s="1"/>
      <c r="T68" s="1"/>
      <c r="U68" s="1"/>
      <c r="V68" s="1"/>
      <c r="W68" s="1"/>
      <c r="X68" s="1"/>
      <c r="Y68" s="1"/>
      <c r="Z68" s="1"/>
      <c r="AA68" s="1"/>
      <c r="AB68" s="1"/>
      <c r="AC68" s="1"/>
      <c r="AD68" s="1"/>
      <c r="AE68" s="1"/>
      <c r="AF68" s="1"/>
      <c r="AG68" s="1"/>
      <c r="AH68" s="1"/>
      <c r="AI68" s="1"/>
      <c r="AJ68" s="1"/>
      <c r="AK68" s="1"/>
    </row>
    <row r="69" spans="1:37" ht="63.75" customHeight="1">
      <c r="A69" s="123"/>
      <c r="B69" s="110" t="s">
        <v>229</v>
      </c>
      <c r="C69" s="111"/>
      <c r="D69" s="112"/>
      <c r="E69" s="76" t="s">
        <v>230</v>
      </c>
      <c r="F69" s="99">
        <f t="shared" si="16"/>
        <v>2039</v>
      </c>
      <c r="G69" s="73" t="s">
        <v>223</v>
      </c>
      <c r="H69" s="92"/>
      <c r="I69" s="92"/>
      <c r="J69" s="80" t="s">
        <v>110</v>
      </c>
      <c r="K69" s="80">
        <v>40</v>
      </c>
      <c r="L69" s="81">
        <f t="shared" si="17"/>
        <v>687.5</v>
      </c>
      <c r="M69" s="101">
        <f t="shared" si="18"/>
        <v>31500</v>
      </c>
      <c r="N69" s="221" t="s">
        <v>228</v>
      </c>
      <c r="O69" s="135"/>
      <c r="P69" s="135"/>
      <c r="R69" s="154"/>
      <c r="S69" s="154"/>
      <c r="T69" s="154"/>
      <c r="U69" s="154"/>
      <c r="V69" s="154"/>
      <c r="W69" s="154"/>
      <c r="X69" s="154"/>
      <c r="Y69" s="154"/>
      <c r="Z69" s="154"/>
      <c r="AA69" s="154"/>
      <c r="AB69" s="154"/>
      <c r="AC69" s="154"/>
      <c r="AD69" s="154"/>
      <c r="AE69" s="154"/>
      <c r="AF69" s="154"/>
      <c r="AG69" s="154"/>
      <c r="AH69" s="154"/>
      <c r="AI69" s="154"/>
      <c r="AJ69" s="154"/>
      <c r="AK69" s="154"/>
    </row>
    <row r="70" spans="1:37" ht="41.25" customHeight="1">
      <c r="A70" s="123" t="s">
        <v>231</v>
      </c>
      <c r="B70" s="110" t="s">
        <v>232</v>
      </c>
      <c r="C70" s="111"/>
      <c r="D70" s="112"/>
      <c r="E70" s="76" t="s">
        <v>233</v>
      </c>
      <c r="F70" s="99"/>
      <c r="G70" s="90" t="s">
        <v>234</v>
      </c>
      <c r="H70" s="99">
        <f>2019+15</f>
        <v>2034</v>
      </c>
      <c r="I70" s="230"/>
      <c r="J70" s="80" t="s">
        <v>144</v>
      </c>
      <c r="K70" s="91">
        <v>2</v>
      </c>
      <c r="L70" s="81">
        <v>37500</v>
      </c>
      <c r="M70" s="80">
        <f t="shared" ref="M70:M73" si="19">L70*K70</f>
        <v>75000</v>
      </c>
      <c r="N70" s="94" t="s">
        <v>235</v>
      </c>
      <c r="O70" s="197"/>
      <c r="P70" s="197"/>
      <c r="Q70" s="1"/>
      <c r="R70" s="1"/>
      <c r="S70" s="1"/>
      <c r="T70" s="1"/>
      <c r="U70" s="1"/>
      <c r="V70" s="1"/>
      <c r="W70" s="1"/>
      <c r="X70" s="1"/>
      <c r="Y70" s="1"/>
      <c r="Z70" s="1"/>
      <c r="AA70" s="1"/>
      <c r="AB70" s="1"/>
      <c r="AC70" s="1"/>
      <c r="AD70" s="1"/>
      <c r="AE70" s="1"/>
      <c r="AF70" s="1"/>
      <c r="AG70" s="1"/>
      <c r="AH70" s="1"/>
      <c r="AI70" s="1"/>
      <c r="AJ70" s="1"/>
      <c r="AK70" s="1"/>
    </row>
    <row r="71" spans="1:37" ht="37.5" customHeight="1">
      <c r="A71" s="123"/>
      <c r="B71" s="110" t="s">
        <v>232</v>
      </c>
      <c r="C71" s="111"/>
      <c r="D71" s="112"/>
      <c r="E71" s="76"/>
      <c r="F71" s="99"/>
      <c r="G71" s="90" t="s">
        <v>234</v>
      </c>
      <c r="H71" s="99">
        <f>H70+15</f>
        <v>2049</v>
      </c>
      <c r="I71" s="230"/>
      <c r="J71" s="80" t="s">
        <v>144</v>
      </c>
      <c r="K71" s="91">
        <v>2</v>
      </c>
      <c r="L71" s="81">
        <v>37500</v>
      </c>
      <c r="M71" s="80">
        <f t="shared" si="19"/>
        <v>75000</v>
      </c>
      <c r="N71" s="94" t="s">
        <v>235</v>
      </c>
      <c r="O71" s="197"/>
      <c r="P71" s="197"/>
      <c r="Q71" s="1"/>
      <c r="R71" s="1"/>
      <c r="S71" s="1"/>
      <c r="T71" s="1"/>
      <c r="U71" s="1"/>
      <c r="V71" s="1"/>
      <c r="W71" s="1"/>
      <c r="X71" s="1"/>
      <c r="Y71" s="1"/>
      <c r="Z71" s="1"/>
      <c r="AA71" s="1"/>
      <c r="AB71" s="1"/>
      <c r="AC71" s="1"/>
      <c r="AD71" s="1"/>
      <c r="AE71" s="1"/>
      <c r="AF71" s="1"/>
      <c r="AG71" s="1"/>
      <c r="AH71" s="1"/>
      <c r="AI71" s="1"/>
      <c r="AJ71" s="1"/>
      <c r="AK71" s="1"/>
    </row>
    <row r="72" spans="1:37" ht="40.5" customHeight="1">
      <c r="A72" s="123" t="s">
        <v>236</v>
      </c>
      <c r="B72" s="110" t="s">
        <v>237</v>
      </c>
      <c r="C72" s="111"/>
      <c r="D72" s="112"/>
      <c r="E72" s="76" t="s">
        <v>238</v>
      </c>
      <c r="F72" s="231"/>
      <c r="G72" s="94" t="s">
        <v>239</v>
      </c>
      <c r="H72" s="99">
        <f>2019+15</f>
        <v>2034</v>
      </c>
      <c r="I72" s="92"/>
      <c r="J72" s="80" t="s">
        <v>144</v>
      </c>
      <c r="K72" s="91">
        <v>2</v>
      </c>
      <c r="L72" s="81">
        <v>37500</v>
      </c>
      <c r="M72" s="101">
        <f t="shared" si="19"/>
        <v>75000</v>
      </c>
      <c r="N72" s="94" t="s">
        <v>240</v>
      </c>
      <c r="O72" s="197"/>
      <c r="P72" s="197"/>
      <c r="Q72" s="1"/>
      <c r="R72" s="1"/>
      <c r="S72" s="1"/>
      <c r="T72" s="1"/>
      <c r="U72" s="1"/>
      <c r="V72" s="1"/>
      <c r="W72" s="1"/>
      <c r="X72" s="1"/>
      <c r="Y72" s="1"/>
      <c r="Z72" s="1"/>
      <c r="AA72" s="1"/>
      <c r="AB72" s="1"/>
      <c r="AC72" s="1"/>
      <c r="AD72" s="1"/>
      <c r="AE72" s="1"/>
      <c r="AF72" s="1"/>
      <c r="AG72" s="1"/>
      <c r="AH72" s="1"/>
      <c r="AI72" s="1"/>
      <c r="AJ72" s="1"/>
      <c r="AK72" s="1"/>
    </row>
    <row r="73" spans="1:37" ht="39.75" customHeight="1">
      <c r="A73" s="123"/>
      <c r="B73" s="110" t="s">
        <v>237</v>
      </c>
      <c r="C73" s="111"/>
      <c r="D73" s="112"/>
      <c r="E73" s="76"/>
      <c r="F73" s="231"/>
      <c r="G73" s="94" t="s">
        <v>239</v>
      </c>
      <c r="H73" s="99">
        <f>H72+15</f>
        <v>2049</v>
      </c>
      <c r="I73" s="92"/>
      <c r="J73" s="80" t="s">
        <v>144</v>
      </c>
      <c r="K73" s="91">
        <v>2</v>
      </c>
      <c r="L73" s="81">
        <v>37500</v>
      </c>
      <c r="M73" s="101">
        <f t="shared" si="19"/>
        <v>75000</v>
      </c>
      <c r="N73" s="94" t="s">
        <v>240</v>
      </c>
      <c r="O73" s="197"/>
      <c r="P73" s="197"/>
      <c r="Q73" s="1"/>
      <c r="R73" s="1"/>
      <c r="S73" s="1"/>
      <c r="T73" s="1"/>
      <c r="U73" s="1"/>
      <c r="V73" s="1"/>
      <c r="W73" s="1"/>
      <c r="X73" s="1"/>
      <c r="Y73" s="1"/>
      <c r="Z73" s="1"/>
      <c r="AA73" s="1"/>
      <c r="AB73" s="1"/>
      <c r="AC73" s="1"/>
      <c r="AD73" s="1"/>
      <c r="AE73" s="1"/>
      <c r="AF73" s="1"/>
      <c r="AG73" s="1"/>
      <c r="AH73" s="1"/>
      <c r="AI73" s="1"/>
      <c r="AJ73" s="1"/>
      <c r="AK73" s="1"/>
    </row>
    <row r="74" spans="1:37" ht="37.5" customHeight="1">
      <c r="A74" s="115" t="s">
        <v>241</v>
      </c>
      <c r="B74" s="232" t="s">
        <v>242</v>
      </c>
      <c r="C74" s="111"/>
      <c r="D74" s="112"/>
      <c r="E74" s="233" t="s">
        <v>243</v>
      </c>
      <c r="F74" s="99"/>
      <c r="G74" s="90" t="s">
        <v>244</v>
      </c>
      <c r="H74" s="99">
        <f>2029</f>
        <v>2029</v>
      </c>
      <c r="I74" s="92"/>
      <c r="J74" s="80" t="s">
        <v>144</v>
      </c>
      <c r="K74" s="91">
        <v>1</v>
      </c>
      <c r="L74" s="81">
        <v>14500</v>
      </c>
      <c r="M74" s="101">
        <f t="shared" ref="M74:M77" si="20">K74*L74</f>
        <v>14500</v>
      </c>
      <c r="N74" s="90" t="s">
        <v>245</v>
      </c>
      <c r="O74" s="197"/>
      <c r="P74" s="197"/>
      <c r="Q74" s="1"/>
      <c r="R74" s="1"/>
      <c r="S74" s="1"/>
      <c r="T74" s="1"/>
      <c r="U74" s="1"/>
      <c r="V74" s="1"/>
      <c r="W74" s="1"/>
      <c r="X74" s="1"/>
      <c r="Y74" s="1"/>
      <c r="Z74" s="1"/>
      <c r="AA74" s="1"/>
      <c r="AB74" s="1"/>
      <c r="AC74" s="1"/>
      <c r="AD74" s="1"/>
      <c r="AE74" s="1"/>
      <c r="AF74" s="1"/>
      <c r="AG74" s="1"/>
      <c r="AH74" s="1"/>
      <c r="AI74" s="1"/>
      <c r="AJ74" s="1"/>
      <c r="AK74" s="1"/>
    </row>
    <row r="75" spans="1:37" ht="40.5" customHeight="1">
      <c r="A75" s="123"/>
      <c r="B75" s="232" t="s">
        <v>242</v>
      </c>
      <c r="C75" s="111"/>
      <c r="D75" s="112"/>
      <c r="E75" s="233"/>
      <c r="F75" s="99"/>
      <c r="G75" s="90" t="s">
        <v>244</v>
      </c>
      <c r="H75" s="99">
        <f>H74+15</f>
        <v>2044</v>
      </c>
      <c r="I75" s="92"/>
      <c r="J75" s="80" t="s">
        <v>144</v>
      </c>
      <c r="K75" s="91">
        <v>1</v>
      </c>
      <c r="L75" s="81">
        <v>14500</v>
      </c>
      <c r="M75" s="101">
        <f t="shared" si="20"/>
        <v>14500</v>
      </c>
      <c r="N75" s="90" t="s">
        <v>245</v>
      </c>
      <c r="O75" s="197"/>
      <c r="P75" s="197"/>
      <c r="Q75" s="1"/>
      <c r="R75" s="1"/>
      <c r="S75" s="1"/>
      <c r="T75" s="1"/>
      <c r="U75" s="1"/>
      <c r="V75" s="1"/>
      <c r="W75" s="1"/>
      <c r="X75" s="1"/>
      <c r="Y75" s="1"/>
      <c r="Z75" s="1"/>
      <c r="AA75" s="1"/>
      <c r="AB75" s="1"/>
      <c r="AC75" s="1"/>
      <c r="AD75" s="1"/>
      <c r="AE75" s="1"/>
      <c r="AF75" s="1"/>
      <c r="AG75" s="1"/>
      <c r="AH75" s="1"/>
      <c r="AI75" s="1"/>
      <c r="AJ75" s="1"/>
      <c r="AK75" s="1"/>
    </row>
    <row r="76" spans="1:37" ht="42.75" customHeight="1">
      <c r="A76" s="123" t="s">
        <v>246</v>
      </c>
      <c r="B76" s="87" t="s">
        <v>247</v>
      </c>
      <c r="C76" s="88"/>
      <c r="D76" s="89"/>
      <c r="E76" s="76" t="s">
        <v>248</v>
      </c>
      <c r="F76" s="99"/>
      <c r="G76" s="90" t="s">
        <v>249</v>
      </c>
      <c r="H76" s="99">
        <f>2019+15</f>
        <v>2034</v>
      </c>
      <c r="I76" s="92"/>
      <c r="J76" s="80" t="s">
        <v>144</v>
      </c>
      <c r="K76" s="91">
        <v>2</v>
      </c>
      <c r="L76" s="81">
        <v>25000</v>
      </c>
      <c r="M76" s="101">
        <f t="shared" si="20"/>
        <v>50000</v>
      </c>
      <c r="N76" s="90" t="s">
        <v>250</v>
      </c>
      <c r="O76" s="197"/>
      <c r="P76" s="197"/>
      <c r="Q76" s="1"/>
      <c r="R76" s="1"/>
      <c r="S76" s="1"/>
      <c r="T76" s="1"/>
      <c r="U76" s="1"/>
      <c r="V76" s="1"/>
      <c r="W76" s="1"/>
      <c r="X76" s="1"/>
      <c r="Y76" s="1"/>
      <c r="Z76" s="1"/>
      <c r="AA76" s="1"/>
      <c r="AB76" s="1"/>
      <c r="AC76" s="1"/>
      <c r="AD76" s="1"/>
      <c r="AE76" s="1"/>
      <c r="AF76" s="1"/>
      <c r="AG76" s="1"/>
      <c r="AH76" s="1"/>
      <c r="AI76" s="1"/>
      <c r="AJ76" s="1"/>
      <c r="AK76" s="1"/>
    </row>
    <row r="77" spans="1:37" ht="36" customHeight="1">
      <c r="A77" s="123"/>
      <c r="B77" s="87" t="s">
        <v>247</v>
      </c>
      <c r="C77" s="97"/>
      <c r="D77" s="98"/>
      <c r="E77" s="76"/>
      <c r="F77" s="99"/>
      <c r="G77" s="90" t="s">
        <v>249</v>
      </c>
      <c r="H77" s="99">
        <f>H76+15</f>
        <v>2049</v>
      </c>
      <c r="I77" s="92"/>
      <c r="J77" s="80" t="s">
        <v>144</v>
      </c>
      <c r="K77" s="91">
        <v>2</v>
      </c>
      <c r="L77" s="81">
        <v>25000</v>
      </c>
      <c r="M77" s="101">
        <f t="shared" si="20"/>
        <v>50000</v>
      </c>
      <c r="N77" s="90" t="s">
        <v>251</v>
      </c>
      <c r="O77" s="197"/>
      <c r="P77" s="197"/>
      <c r="Q77" s="1"/>
      <c r="R77" s="1"/>
      <c r="S77" s="1"/>
      <c r="T77" s="1"/>
      <c r="U77" s="1"/>
      <c r="V77" s="1"/>
      <c r="W77" s="1"/>
      <c r="X77" s="1"/>
      <c r="Y77" s="1"/>
      <c r="Z77" s="1"/>
      <c r="AA77" s="1"/>
      <c r="AB77" s="1"/>
      <c r="AC77" s="1"/>
      <c r="AD77" s="1"/>
      <c r="AE77" s="1"/>
      <c r="AF77" s="1"/>
      <c r="AG77" s="1"/>
      <c r="AH77" s="1"/>
      <c r="AI77" s="1"/>
      <c r="AJ77" s="1"/>
      <c r="AK77" s="1"/>
    </row>
    <row r="78" spans="1:37" ht="43.5" customHeight="1">
      <c r="A78" s="115" t="s">
        <v>252</v>
      </c>
      <c r="B78" s="110" t="s">
        <v>253</v>
      </c>
      <c r="C78" s="111"/>
      <c r="D78" s="112"/>
      <c r="E78" s="76" t="s">
        <v>254</v>
      </c>
      <c r="F78" s="99"/>
      <c r="G78" s="94" t="s">
        <v>255</v>
      </c>
      <c r="H78" s="99">
        <f>2019+30</f>
        <v>2049</v>
      </c>
      <c r="I78" s="92"/>
      <c r="J78" s="80" t="s">
        <v>144</v>
      </c>
      <c r="K78" s="81">
        <v>1</v>
      </c>
      <c r="L78" s="81">
        <v>7170</v>
      </c>
      <c r="M78" s="101">
        <f t="shared" ref="M78:M80" si="21">L78*K78</f>
        <v>7170</v>
      </c>
      <c r="N78" s="94" t="s">
        <v>256</v>
      </c>
      <c r="O78" s="197"/>
      <c r="P78" s="197"/>
      <c r="Q78" s="1"/>
      <c r="R78" s="1"/>
      <c r="S78" s="1"/>
      <c r="T78" s="1"/>
      <c r="U78" s="1"/>
      <c r="V78" s="1"/>
      <c r="W78" s="1"/>
      <c r="X78" s="1"/>
      <c r="Y78" s="1"/>
      <c r="Z78" s="1"/>
      <c r="AA78" s="1"/>
      <c r="AB78" s="1"/>
      <c r="AC78" s="1"/>
      <c r="AD78" s="1"/>
      <c r="AE78" s="1"/>
      <c r="AF78" s="1"/>
      <c r="AG78" s="1"/>
      <c r="AH78" s="1"/>
      <c r="AI78" s="1"/>
      <c r="AJ78" s="1"/>
      <c r="AK78" s="1"/>
    </row>
    <row r="79" spans="1:37" ht="54" customHeight="1">
      <c r="A79" s="115" t="s">
        <v>257</v>
      </c>
      <c r="B79" s="232" t="s">
        <v>258</v>
      </c>
      <c r="C79" s="111"/>
      <c r="D79" s="112"/>
      <c r="E79" s="76" t="s">
        <v>259</v>
      </c>
      <c r="F79" s="99"/>
      <c r="G79" s="94" t="s">
        <v>260</v>
      </c>
      <c r="H79" s="99">
        <v>2032</v>
      </c>
      <c r="I79" s="92"/>
      <c r="J79" s="80" t="s">
        <v>144</v>
      </c>
      <c r="K79" s="81">
        <v>3</v>
      </c>
      <c r="L79" s="101">
        <f t="shared" ref="L79:L80" si="22">13000+6000</f>
        <v>19000</v>
      </c>
      <c r="M79" s="101">
        <f t="shared" si="21"/>
        <v>57000</v>
      </c>
      <c r="N79" s="234" t="s">
        <v>261</v>
      </c>
      <c r="O79" s="197"/>
      <c r="P79" s="197"/>
      <c r="Q79" s="1"/>
      <c r="R79" s="1"/>
      <c r="S79" s="1"/>
      <c r="T79" s="1"/>
      <c r="U79" s="1"/>
      <c r="V79" s="1"/>
      <c r="W79" s="1"/>
      <c r="X79" s="1"/>
      <c r="Y79" s="1"/>
      <c r="Z79" s="1"/>
      <c r="AA79" s="1"/>
      <c r="AB79" s="1"/>
      <c r="AC79" s="1"/>
      <c r="AD79" s="1"/>
      <c r="AE79" s="1"/>
      <c r="AF79" s="1"/>
      <c r="AG79" s="1"/>
      <c r="AH79" s="1"/>
      <c r="AI79" s="1"/>
      <c r="AJ79" s="1"/>
      <c r="AK79" s="1"/>
    </row>
    <row r="80" spans="1:37" ht="54" customHeight="1">
      <c r="A80" s="115"/>
      <c r="B80" s="232" t="s">
        <v>258</v>
      </c>
      <c r="C80" s="111"/>
      <c r="D80" s="112"/>
      <c r="E80" s="76" t="s">
        <v>259</v>
      </c>
      <c r="F80" s="99"/>
      <c r="G80" s="94" t="s">
        <v>260</v>
      </c>
      <c r="H80" s="99">
        <f>H79+15</f>
        <v>2047</v>
      </c>
      <c r="I80" s="92"/>
      <c r="J80" s="80" t="s">
        <v>144</v>
      </c>
      <c r="K80" s="81">
        <v>3</v>
      </c>
      <c r="L80" s="101">
        <f t="shared" si="22"/>
        <v>19000</v>
      </c>
      <c r="M80" s="101">
        <f t="shared" si="21"/>
        <v>57000</v>
      </c>
      <c r="N80" s="234" t="s">
        <v>262</v>
      </c>
      <c r="O80" s="135"/>
      <c r="P80" s="135"/>
    </row>
    <row r="81" spans="1:37" ht="75" customHeight="1">
      <c r="A81" s="115" t="s">
        <v>225</v>
      </c>
      <c r="B81" s="232" t="s">
        <v>263</v>
      </c>
      <c r="C81" s="111"/>
      <c r="D81" s="112"/>
      <c r="E81" s="227"/>
      <c r="F81" s="99">
        <f>2029</f>
        <v>2029</v>
      </c>
      <c r="G81" s="94" t="s">
        <v>264</v>
      </c>
      <c r="H81" s="90"/>
      <c r="I81" s="80"/>
      <c r="J81" s="80" t="s">
        <v>110</v>
      </c>
      <c r="K81" s="81">
        <v>24</v>
      </c>
      <c r="L81" s="81">
        <f t="shared" ref="L81:L82" si="23">550*1.25</f>
        <v>687.5</v>
      </c>
      <c r="M81" s="82">
        <f t="shared" ref="M81:M82" si="24">L81*24+3000</f>
        <v>19500</v>
      </c>
      <c r="N81" s="201" t="s">
        <v>265</v>
      </c>
      <c r="O81" s="197"/>
      <c r="P81" s="197"/>
      <c r="Q81" s="1"/>
      <c r="R81" s="1"/>
      <c r="S81" s="1"/>
      <c r="T81" s="1"/>
      <c r="U81" s="1"/>
      <c r="V81" s="1"/>
      <c r="W81" s="1"/>
      <c r="X81" s="1"/>
      <c r="Y81" s="1"/>
      <c r="Z81" s="1"/>
      <c r="AA81" s="1"/>
      <c r="AB81" s="1"/>
      <c r="AC81" s="1"/>
      <c r="AD81" s="1"/>
      <c r="AE81" s="1"/>
      <c r="AF81" s="1"/>
      <c r="AG81" s="1"/>
      <c r="AH81" s="1"/>
      <c r="AI81" s="1"/>
      <c r="AJ81" s="1"/>
      <c r="AK81" s="1"/>
    </row>
    <row r="82" spans="1:37" ht="75" customHeight="1">
      <c r="A82" s="115"/>
      <c r="B82" s="232" t="s">
        <v>263</v>
      </c>
      <c r="C82" s="111"/>
      <c r="D82" s="112"/>
      <c r="E82" s="227"/>
      <c r="F82" s="99">
        <f>F81+20</f>
        <v>2049</v>
      </c>
      <c r="G82" s="94" t="s">
        <v>264</v>
      </c>
      <c r="H82" s="90"/>
      <c r="I82" s="80"/>
      <c r="J82" s="80" t="s">
        <v>110</v>
      </c>
      <c r="K82" s="81">
        <v>24</v>
      </c>
      <c r="L82" s="81">
        <f t="shared" si="23"/>
        <v>687.5</v>
      </c>
      <c r="M82" s="82">
        <f t="shared" si="24"/>
        <v>19500</v>
      </c>
      <c r="N82" s="201" t="s">
        <v>265</v>
      </c>
      <c r="O82" s="197"/>
      <c r="P82" s="197"/>
      <c r="Q82" s="1"/>
      <c r="R82" s="1"/>
      <c r="S82" s="1"/>
      <c r="T82" s="1"/>
      <c r="U82" s="1"/>
      <c r="V82" s="1"/>
      <c r="W82" s="1"/>
      <c r="X82" s="1"/>
      <c r="Y82" s="1"/>
      <c r="Z82" s="1"/>
      <c r="AA82" s="1"/>
      <c r="AB82" s="1"/>
      <c r="AC82" s="1"/>
      <c r="AD82" s="1"/>
      <c r="AE82" s="1"/>
      <c r="AF82" s="1"/>
      <c r="AG82" s="1"/>
      <c r="AH82" s="1"/>
      <c r="AI82" s="1"/>
      <c r="AJ82" s="1"/>
      <c r="AK82" s="1"/>
    </row>
    <row r="83" spans="1:37" ht="36" customHeight="1">
      <c r="A83" s="115" t="s">
        <v>266</v>
      </c>
      <c r="B83" s="110" t="s">
        <v>267</v>
      </c>
      <c r="C83" s="111"/>
      <c r="D83" s="112"/>
      <c r="E83" s="235" t="s">
        <v>268</v>
      </c>
      <c r="F83" s="106"/>
      <c r="G83" s="236"/>
      <c r="H83" s="237"/>
      <c r="I83" s="80"/>
      <c r="J83" s="80"/>
      <c r="K83" s="81"/>
      <c r="L83" s="238"/>
      <c r="M83" s="220"/>
      <c r="N83" s="239" t="s">
        <v>268</v>
      </c>
      <c r="O83" s="197"/>
      <c r="P83" s="135"/>
    </row>
    <row r="84" spans="1:37" ht="41.25" customHeight="1">
      <c r="A84" s="115" t="s">
        <v>269</v>
      </c>
      <c r="B84" s="110" t="s">
        <v>270</v>
      </c>
      <c r="C84" s="111"/>
      <c r="D84" s="112"/>
      <c r="E84" s="235" t="s">
        <v>271</v>
      </c>
      <c r="F84" s="106"/>
      <c r="G84" s="94"/>
      <c r="H84" s="90"/>
      <c r="I84" s="92"/>
      <c r="J84" s="92"/>
      <c r="K84" s="81"/>
      <c r="L84" s="81"/>
      <c r="M84" s="101"/>
      <c r="N84" s="235" t="s">
        <v>271</v>
      </c>
      <c r="O84" s="197"/>
      <c r="P84" s="135"/>
    </row>
    <row r="85" spans="1:37" ht="77.25" customHeight="1">
      <c r="A85" s="115" t="s">
        <v>272</v>
      </c>
      <c r="B85" s="110" t="s">
        <v>273</v>
      </c>
      <c r="C85" s="111"/>
      <c r="D85" s="112"/>
      <c r="E85" s="240" t="s">
        <v>274</v>
      </c>
      <c r="F85" s="99">
        <v>2027</v>
      </c>
      <c r="G85" s="94" t="s">
        <v>275</v>
      </c>
      <c r="H85" s="90"/>
      <c r="I85" s="92"/>
      <c r="J85" s="80" t="s">
        <v>110</v>
      </c>
      <c r="K85" s="241">
        <v>24</v>
      </c>
      <c r="L85" s="81">
        <f t="shared" ref="L85:L87" si="25">550*1.25</f>
        <v>687.5</v>
      </c>
      <c r="M85" s="101">
        <f t="shared" ref="M85:M87" si="26">L85*16+(3000)</f>
        <v>14000</v>
      </c>
      <c r="N85" s="242" t="s">
        <v>276</v>
      </c>
      <c r="O85" s="243"/>
      <c r="P85" s="135"/>
    </row>
    <row r="86" spans="1:37" ht="77.25" customHeight="1">
      <c r="A86" s="115"/>
      <c r="B86" s="110" t="s">
        <v>273</v>
      </c>
      <c r="C86" s="111"/>
      <c r="D86" s="112"/>
      <c r="E86" s="240" t="s">
        <v>274</v>
      </c>
      <c r="F86" s="99">
        <f t="shared" ref="F86:F87" si="27">F85+10</f>
        <v>2037</v>
      </c>
      <c r="G86" s="94" t="s">
        <v>275</v>
      </c>
      <c r="H86" s="90"/>
      <c r="I86" s="92"/>
      <c r="J86" s="80" t="s">
        <v>110</v>
      </c>
      <c r="K86" s="241">
        <v>24</v>
      </c>
      <c r="L86" s="81">
        <f t="shared" si="25"/>
        <v>687.5</v>
      </c>
      <c r="M86" s="101">
        <f t="shared" si="26"/>
        <v>14000</v>
      </c>
      <c r="N86" s="242" t="s">
        <v>276</v>
      </c>
      <c r="O86" s="244"/>
      <c r="P86" s="135"/>
    </row>
    <row r="87" spans="1:37" ht="77.25" customHeight="1">
      <c r="A87" s="115"/>
      <c r="B87" s="110" t="s">
        <v>273</v>
      </c>
      <c r="C87" s="111"/>
      <c r="D87" s="112"/>
      <c r="E87" s="240" t="s">
        <v>274</v>
      </c>
      <c r="F87" s="99">
        <f t="shared" si="27"/>
        <v>2047</v>
      </c>
      <c r="G87" s="78" t="s">
        <v>275</v>
      </c>
      <c r="H87" s="90"/>
      <c r="I87" s="92"/>
      <c r="J87" s="80" t="s">
        <v>110</v>
      </c>
      <c r="K87" s="241">
        <v>24</v>
      </c>
      <c r="L87" s="81">
        <f t="shared" si="25"/>
        <v>687.5</v>
      </c>
      <c r="M87" s="101">
        <f t="shared" si="26"/>
        <v>14000</v>
      </c>
      <c r="N87" s="242" t="s">
        <v>276</v>
      </c>
      <c r="O87" s="244"/>
      <c r="P87" s="135"/>
    </row>
    <row r="88" spans="1:37" ht="23.25" customHeight="1">
      <c r="A88" s="115" t="s">
        <v>277</v>
      </c>
      <c r="B88" s="110" t="s">
        <v>278</v>
      </c>
      <c r="C88" s="111"/>
      <c r="D88" s="112"/>
      <c r="E88" s="245"/>
      <c r="F88" s="99"/>
      <c r="G88" s="110"/>
      <c r="H88" s="219"/>
      <c r="I88" s="99"/>
      <c r="J88" s="80"/>
      <c r="K88" s="81"/>
      <c r="L88" s="81"/>
      <c r="M88" s="101"/>
      <c r="N88" s="110"/>
      <c r="O88" s="135"/>
      <c r="P88" s="135"/>
    </row>
    <row r="89" spans="1:37" ht="144" customHeight="1">
      <c r="A89" s="115" t="s">
        <v>279</v>
      </c>
      <c r="B89" s="110" t="s">
        <v>280</v>
      </c>
      <c r="C89" s="111"/>
      <c r="D89" s="112"/>
      <c r="E89" s="76" t="s">
        <v>281</v>
      </c>
      <c r="F89" s="99">
        <v>2028</v>
      </c>
      <c r="G89" s="236" t="s">
        <v>282</v>
      </c>
      <c r="H89" s="231"/>
      <c r="I89" s="80"/>
      <c r="J89" s="80" t="s">
        <v>144</v>
      </c>
      <c r="K89" s="81">
        <v>20000</v>
      </c>
      <c r="L89" s="238">
        <f t="shared" ref="L89:L92" si="28">550*1.25</f>
        <v>687.5</v>
      </c>
      <c r="M89" s="220">
        <f t="shared" ref="M89:M90" si="29">(K89*9)+(15000*3)</f>
        <v>225000</v>
      </c>
      <c r="N89" s="246" t="s">
        <v>283</v>
      </c>
      <c r="O89" s="197"/>
      <c r="P89" s="197"/>
      <c r="Q89" s="1"/>
    </row>
    <row r="90" spans="1:37" ht="154.5" customHeight="1">
      <c r="A90" s="115"/>
      <c r="B90" s="110" t="s">
        <v>280</v>
      </c>
      <c r="C90" s="137"/>
      <c r="D90" s="138"/>
      <c r="E90" s="76" t="s">
        <v>284</v>
      </c>
      <c r="F90" s="99">
        <f>F89+20</f>
        <v>2048</v>
      </c>
      <c r="G90" s="236" t="s">
        <v>285</v>
      </c>
      <c r="H90" s="231"/>
      <c r="I90" s="80"/>
      <c r="J90" s="80" t="s">
        <v>144</v>
      </c>
      <c r="K90" s="81">
        <v>20000</v>
      </c>
      <c r="L90" s="238">
        <f t="shared" si="28"/>
        <v>687.5</v>
      </c>
      <c r="M90" s="220">
        <f t="shared" si="29"/>
        <v>225000</v>
      </c>
      <c r="N90" s="246" t="s">
        <v>283</v>
      </c>
      <c r="O90" s="197"/>
      <c r="P90" s="197"/>
      <c r="Q90" s="1"/>
    </row>
    <row r="91" spans="1:37" ht="138" customHeight="1">
      <c r="A91" s="115" t="s">
        <v>286</v>
      </c>
      <c r="B91" s="110" t="s">
        <v>287</v>
      </c>
      <c r="C91" s="137"/>
      <c r="D91" s="138"/>
      <c r="E91" s="247" t="s">
        <v>288</v>
      </c>
      <c r="F91" s="99">
        <f t="shared" ref="F91:F92" si="30">F89</f>
        <v>2028</v>
      </c>
      <c r="G91" s="94" t="s">
        <v>289</v>
      </c>
      <c r="H91" s="90"/>
      <c r="I91" s="92"/>
      <c r="J91" s="80" t="s">
        <v>110</v>
      </c>
      <c r="K91" s="81">
        <v>40</v>
      </c>
      <c r="L91" s="238">
        <f t="shared" si="28"/>
        <v>687.5</v>
      </c>
      <c r="M91" s="101">
        <f t="shared" ref="M91:M92" si="31">((L91*K91)*(3))+(10000*3)</f>
        <v>112500</v>
      </c>
      <c r="N91" s="221" t="s">
        <v>290</v>
      </c>
      <c r="O91" s="197"/>
      <c r="P91" s="197"/>
      <c r="R91" s="154"/>
      <c r="S91" s="154"/>
      <c r="T91" s="154"/>
      <c r="U91" s="154"/>
      <c r="V91" s="154"/>
      <c r="W91" s="154"/>
      <c r="X91" s="154"/>
      <c r="Y91" s="154"/>
      <c r="Z91" s="154"/>
      <c r="AA91" s="154"/>
      <c r="AB91" s="154"/>
      <c r="AC91" s="154"/>
      <c r="AD91" s="154"/>
      <c r="AE91" s="154"/>
      <c r="AF91" s="154"/>
      <c r="AG91" s="154"/>
      <c r="AH91" s="154"/>
      <c r="AI91" s="154"/>
      <c r="AJ91" s="154"/>
      <c r="AK91" s="154"/>
    </row>
    <row r="92" spans="1:37" ht="138" customHeight="1">
      <c r="A92" s="142"/>
      <c r="B92" s="110" t="s">
        <v>287</v>
      </c>
      <c r="C92" s="137"/>
      <c r="D92" s="138"/>
      <c r="E92" s="247"/>
      <c r="F92" s="99">
        <f t="shared" si="30"/>
        <v>2048</v>
      </c>
      <c r="G92" s="78" t="s">
        <v>289</v>
      </c>
      <c r="H92" s="90"/>
      <c r="I92" s="92"/>
      <c r="J92" s="80" t="s">
        <v>110</v>
      </c>
      <c r="K92" s="81">
        <v>40</v>
      </c>
      <c r="L92" s="238">
        <f t="shared" si="28"/>
        <v>687.5</v>
      </c>
      <c r="M92" s="101">
        <f t="shared" si="31"/>
        <v>112500</v>
      </c>
      <c r="N92" s="221" t="s">
        <v>291</v>
      </c>
      <c r="O92" s="197"/>
      <c r="P92" s="197"/>
      <c r="R92" s="154"/>
      <c r="S92" s="154"/>
      <c r="T92" s="154"/>
      <c r="U92" s="154"/>
      <c r="V92" s="154"/>
      <c r="W92" s="154"/>
      <c r="X92" s="154"/>
      <c r="Y92" s="154"/>
      <c r="Z92" s="154"/>
      <c r="AA92" s="154"/>
      <c r="AB92" s="154"/>
      <c r="AC92" s="154"/>
      <c r="AD92" s="154"/>
      <c r="AE92" s="154"/>
      <c r="AF92" s="154"/>
      <c r="AG92" s="154"/>
      <c r="AH92" s="154"/>
      <c r="AI92" s="154"/>
      <c r="AJ92" s="154"/>
      <c r="AK92" s="154"/>
    </row>
    <row r="93" spans="1:37" ht="33.75" customHeight="1">
      <c r="A93" s="142" t="s">
        <v>292</v>
      </c>
      <c r="B93" s="78" t="s">
        <v>293</v>
      </c>
      <c r="C93" s="74"/>
      <c r="D93" s="248"/>
      <c r="E93" s="77"/>
      <c r="F93" s="77"/>
      <c r="G93" s="94"/>
      <c r="H93" s="90"/>
      <c r="I93" s="80"/>
      <c r="J93" s="80"/>
      <c r="K93" s="80"/>
      <c r="L93" s="249"/>
      <c r="M93" s="250"/>
      <c r="N93" s="251"/>
      <c r="O93" s="135"/>
      <c r="P93" s="135"/>
    </row>
    <row r="94" spans="1:37" ht="37.5" customHeight="1">
      <c r="A94" s="252" t="s">
        <v>203</v>
      </c>
      <c r="B94" s="253" t="s">
        <v>294</v>
      </c>
      <c r="C94" s="111"/>
      <c r="D94" s="112"/>
      <c r="E94" s="254"/>
      <c r="F94" s="255"/>
      <c r="G94" s="255"/>
      <c r="H94" s="255"/>
      <c r="I94" s="256"/>
      <c r="J94" s="256"/>
      <c r="K94" s="257"/>
      <c r="L94" s="258"/>
      <c r="M94" s="259"/>
      <c r="N94" s="260"/>
      <c r="O94" s="135"/>
      <c r="P94" s="135"/>
    </row>
    <row r="95" spans="1:37" ht="37.5" customHeight="1">
      <c r="A95" s="115" t="s">
        <v>292</v>
      </c>
      <c r="B95" s="110" t="s">
        <v>295</v>
      </c>
      <c r="C95" s="111"/>
      <c r="D95" s="112"/>
      <c r="E95" s="106"/>
      <c r="F95" s="106"/>
      <c r="G95" s="73"/>
      <c r="H95" s="219"/>
      <c r="I95" s="80"/>
      <c r="J95" s="80"/>
      <c r="K95" s="91"/>
      <c r="L95" s="238"/>
      <c r="M95" s="220"/>
      <c r="N95" s="261"/>
      <c r="O95" s="135"/>
      <c r="P95" s="135"/>
      <c r="Q95" s="262"/>
    </row>
    <row r="96" spans="1:37" ht="184.5" customHeight="1">
      <c r="A96" s="115" t="s">
        <v>296</v>
      </c>
      <c r="B96" s="110" t="s">
        <v>297</v>
      </c>
      <c r="C96" s="111"/>
      <c r="D96" s="112"/>
      <c r="E96" s="76" t="s">
        <v>298</v>
      </c>
      <c r="F96" s="106"/>
      <c r="G96" s="263" t="s">
        <v>299</v>
      </c>
      <c r="H96" s="106">
        <v>2035</v>
      </c>
      <c r="I96" s="264"/>
      <c r="J96" s="264"/>
      <c r="K96" s="265"/>
      <c r="L96" s="266"/>
      <c r="M96" s="266">
        <v>150000</v>
      </c>
      <c r="N96" s="234" t="s">
        <v>300</v>
      </c>
      <c r="O96" s="197"/>
      <c r="P96" s="197"/>
      <c r="Q96" s="1"/>
      <c r="R96" s="1"/>
      <c r="S96" s="1"/>
      <c r="T96" s="1"/>
      <c r="U96" s="1"/>
      <c r="V96" s="1"/>
      <c r="W96" s="1"/>
      <c r="X96" s="1"/>
      <c r="Y96" s="1"/>
      <c r="Z96" s="1"/>
      <c r="AA96" s="1"/>
      <c r="AB96" s="1"/>
      <c r="AC96" s="1"/>
      <c r="AD96" s="1"/>
      <c r="AE96" s="1"/>
      <c r="AF96" s="1"/>
      <c r="AG96" s="1"/>
      <c r="AH96" s="1"/>
      <c r="AI96" s="1"/>
      <c r="AJ96" s="1"/>
      <c r="AK96" s="1"/>
    </row>
    <row r="97" spans="1:37" ht="163.5" customHeight="1">
      <c r="A97" s="107"/>
      <c r="B97" s="110" t="s">
        <v>297</v>
      </c>
      <c r="C97" s="111"/>
      <c r="D97" s="112"/>
      <c r="E97" s="76" t="s">
        <v>301</v>
      </c>
      <c r="F97" s="106"/>
      <c r="G97" s="94" t="s">
        <v>302</v>
      </c>
      <c r="H97" s="99">
        <f>2027</f>
        <v>2027</v>
      </c>
      <c r="I97" s="264"/>
      <c r="J97" s="264" t="s">
        <v>110</v>
      </c>
      <c r="K97" s="265">
        <v>40</v>
      </c>
      <c r="L97" s="267">
        <f t="shared" ref="L97:L98" si="32">550*1.25</f>
        <v>687.5</v>
      </c>
      <c r="M97" s="267">
        <f>(K97*L97) + (5000)+ (8000)+ (4000) + (10000) +(30000)</f>
        <v>84500</v>
      </c>
      <c r="N97" s="268" t="s">
        <v>303</v>
      </c>
      <c r="O97" s="135"/>
      <c r="P97" s="135"/>
      <c r="R97" s="154"/>
      <c r="S97" s="154"/>
      <c r="T97" s="154"/>
      <c r="U97" s="154"/>
      <c r="V97" s="154"/>
      <c r="W97" s="154"/>
      <c r="X97" s="154"/>
      <c r="Y97" s="154"/>
      <c r="Z97" s="154"/>
      <c r="AA97" s="154"/>
      <c r="AB97" s="154"/>
      <c r="AC97" s="154"/>
      <c r="AD97" s="154"/>
      <c r="AE97" s="154"/>
      <c r="AF97" s="154"/>
      <c r="AG97" s="154"/>
      <c r="AH97" s="154"/>
      <c r="AI97" s="154"/>
      <c r="AJ97" s="154"/>
      <c r="AK97" s="154"/>
    </row>
    <row r="98" spans="1:37" ht="163.5" customHeight="1">
      <c r="A98" s="95"/>
      <c r="B98" s="110" t="s">
        <v>297</v>
      </c>
      <c r="C98" s="111"/>
      <c r="D98" s="112"/>
      <c r="E98" s="76" t="s">
        <v>301</v>
      </c>
      <c r="F98" s="106"/>
      <c r="G98" s="94" t="s">
        <v>304</v>
      </c>
      <c r="H98" s="106">
        <f>H97+15</f>
        <v>2042</v>
      </c>
      <c r="I98" s="264"/>
      <c r="J98" s="264" t="s">
        <v>110</v>
      </c>
      <c r="K98" s="265">
        <v>40</v>
      </c>
      <c r="L98" s="267">
        <f t="shared" si="32"/>
        <v>687.5</v>
      </c>
      <c r="M98" s="267">
        <f>(K98*L98) + (5000)+ (8000)+ (4000) + (10000)</f>
        <v>54500</v>
      </c>
      <c r="N98" s="268" t="s">
        <v>305</v>
      </c>
      <c r="O98" s="135"/>
      <c r="P98" s="135"/>
      <c r="R98" s="154"/>
      <c r="S98" s="154"/>
      <c r="T98" s="154"/>
      <c r="U98" s="154"/>
      <c r="V98" s="154"/>
      <c r="W98" s="154"/>
      <c r="X98" s="154"/>
      <c r="Y98" s="154"/>
      <c r="Z98" s="154"/>
      <c r="AA98" s="154"/>
      <c r="AB98" s="154"/>
      <c r="AC98" s="154"/>
      <c r="AD98" s="154"/>
      <c r="AE98" s="154"/>
      <c r="AF98" s="154"/>
      <c r="AG98" s="154"/>
      <c r="AH98" s="154"/>
      <c r="AI98" s="154"/>
      <c r="AJ98" s="154"/>
      <c r="AK98" s="154"/>
    </row>
    <row r="99" spans="1:37" ht="35.25" customHeight="1">
      <c r="A99" s="252" t="s">
        <v>306</v>
      </c>
      <c r="B99" s="269" t="s">
        <v>307</v>
      </c>
      <c r="C99" s="111"/>
      <c r="D99" s="112"/>
      <c r="E99" s="270"/>
      <c r="F99" s="255"/>
      <c r="G99" s="271"/>
      <c r="H99" s="255"/>
      <c r="I99" s="256"/>
      <c r="J99" s="256"/>
      <c r="K99" s="257"/>
      <c r="L99" s="258"/>
      <c r="M99" s="259"/>
      <c r="N99" s="260"/>
      <c r="O99" s="135"/>
      <c r="P99" s="135"/>
    </row>
    <row r="100" spans="1:37" ht="39" customHeight="1">
      <c r="A100" s="252" t="s">
        <v>308</v>
      </c>
      <c r="B100" s="253" t="s">
        <v>309</v>
      </c>
      <c r="C100" s="111"/>
      <c r="D100" s="112"/>
      <c r="E100" s="270"/>
      <c r="F100" s="255"/>
      <c r="G100" s="255"/>
      <c r="H100" s="255"/>
      <c r="I100" s="256"/>
      <c r="J100" s="256"/>
      <c r="K100" s="257"/>
      <c r="L100" s="258"/>
      <c r="M100" s="259"/>
      <c r="N100" s="260"/>
      <c r="O100" s="135"/>
      <c r="P100" s="135"/>
    </row>
    <row r="101" spans="1:37" ht="38.25" customHeight="1">
      <c r="A101" s="115"/>
      <c r="B101" s="110" t="s">
        <v>310</v>
      </c>
      <c r="C101" s="111"/>
      <c r="D101" s="112"/>
      <c r="E101" s="76"/>
      <c r="F101" s="106" t="s">
        <v>158</v>
      </c>
      <c r="G101" s="236" t="s">
        <v>311</v>
      </c>
      <c r="H101" s="219"/>
      <c r="I101" s="80"/>
      <c r="J101" s="80"/>
      <c r="K101" s="91"/>
      <c r="L101" s="238"/>
      <c r="M101" s="220"/>
      <c r="N101" s="236" t="s">
        <v>312</v>
      </c>
      <c r="O101" s="197"/>
      <c r="P101" s="197"/>
    </row>
    <row r="102" spans="1:37" ht="100.5" customHeight="1">
      <c r="A102" s="115" t="s">
        <v>313</v>
      </c>
      <c r="B102" s="236" t="s">
        <v>314</v>
      </c>
      <c r="C102" s="116"/>
      <c r="D102" s="117"/>
      <c r="E102" s="147" t="s">
        <v>315</v>
      </c>
      <c r="F102" s="106">
        <f>2023+5</f>
        <v>2028</v>
      </c>
      <c r="G102" s="236" t="s">
        <v>316</v>
      </c>
      <c r="H102" s="106"/>
      <c r="I102" s="80"/>
      <c r="J102" s="80" t="s">
        <v>144</v>
      </c>
      <c r="K102" s="91">
        <f t="shared" ref="K102:K106" si="33">30+2</f>
        <v>32</v>
      </c>
      <c r="L102" s="238">
        <v>1000</v>
      </c>
      <c r="M102" s="220">
        <f t="shared" ref="M102:M103" si="34">L102*K102</f>
        <v>32000</v>
      </c>
      <c r="N102" s="236" t="s">
        <v>317</v>
      </c>
      <c r="O102" s="197"/>
      <c r="P102" s="197"/>
      <c r="Q102" s="1"/>
      <c r="R102" s="1"/>
      <c r="S102" s="1"/>
      <c r="T102" s="1"/>
      <c r="U102" s="1"/>
      <c r="V102" s="1"/>
      <c r="W102" s="1"/>
      <c r="X102" s="1"/>
      <c r="Y102" s="1"/>
      <c r="Z102" s="1"/>
      <c r="AA102" s="1"/>
      <c r="AB102" s="1"/>
      <c r="AC102" s="1"/>
      <c r="AD102" s="1"/>
      <c r="AE102" s="1"/>
      <c r="AF102" s="1"/>
      <c r="AG102" s="1"/>
      <c r="AH102" s="1"/>
      <c r="AI102" s="1"/>
      <c r="AJ102" s="1"/>
      <c r="AK102" s="1"/>
    </row>
    <row r="103" spans="1:37" ht="100.5" customHeight="1">
      <c r="A103" s="115"/>
      <c r="B103" s="236" t="s">
        <v>314</v>
      </c>
      <c r="C103" s="137"/>
      <c r="D103" s="138"/>
      <c r="E103" s="145"/>
      <c r="F103" s="106">
        <f>F102+5</f>
        <v>2033</v>
      </c>
      <c r="G103" s="236" t="s">
        <v>316</v>
      </c>
      <c r="H103" s="106"/>
      <c r="I103" s="80"/>
      <c r="J103" s="80" t="s">
        <v>144</v>
      </c>
      <c r="K103" s="91">
        <f t="shared" si="33"/>
        <v>32</v>
      </c>
      <c r="L103" s="238">
        <v>1000</v>
      </c>
      <c r="M103" s="220">
        <f t="shared" si="34"/>
        <v>32000</v>
      </c>
      <c r="N103" s="236" t="s">
        <v>317</v>
      </c>
      <c r="O103" s="135"/>
      <c r="P103" s="135"/>
    </row>
    <row r="104" spans="1:37" ht="237" customHeight="1">
      <c r="A104" s="115"/>
      <c r="B104" s="110" t="s">
        <v>314</v>
      </c>
      <c r="C104" s="111"/>
      <c r="D104" s="112"/>
      <c r="E104" s="76"/>
      <c r="F104" s="106"/>
      <c r="G104" s="272" t="s">
        <v>318</v>
      </c>
      <c r="H104" s="99">
        <f>1988+50</f>
        <v>2038</v>
      </c>
      <c r="I104" s="79"/>
      <c r="J104" s="80" t="s">
        <v>144</v>
      </c>
      <c r="K104" s="91">
        <f t="shared" si="33"/>
        <v>32</v>
      </c>
      <c r="L104" s="81">
        <v>20000</v>
      </c>
      <c r="M104" s="101">
        <f>K104*L104+500000</f>
        <v>1140000</v>
      </c>
      <c r="N104" s="94" t="s">
        <v>319</v>
      </c>
      <c r="O104" s="197"/>
      <c r="P104" s="197"/>
    </row>
    <row r="105" spans="1:37" ht="93.75" customHeight="1">
      <c r="A105" s="115"/>
      <c r="B105" s="110" t="s">
        <v>314</v>
      </c>
      <c r="C105" s="111"/>
      <c r="D105" s="112"/>
      <c r="E105" s="76"/>
      <c r="F105" s="106">
        <f>H104+5</f>
        <v>2043</v>
      </c>
      <c r="G105" s="236" t="s">
        <v>316</v>
      </c>
      <c r="H105" s="99"/>
      <c r="I105" s="80"/>
      <c r="J105" s="80" t="s">
        <v>144</v>
      </c>
      <c r="K105" s="91">
        <f t="shared" si="33"/>
        <v>32</v>
      </c>
      <c r="L105" s="238">
        <v>1000</v>
      </c>
      <c r="M105" s="101">
        <f t="shared" ref="M105:M106" si="35">L105*K105</f>
        <v>32000</v>
      </c>
      <c r="N105" s="236" t="s">
        <v>317</v>
      </c>
      <c r="O105" s="197"/>
      <c r="P105" s="197"/>
    </row>
    <row r="106" spans="1:37" ht="91.5" customHeight="1">
      <c r="A106" s="115"/>
      <c r="B106" s="110" t="s">
        <v>314</v>
      </c>
      <c r="C106" s="111"/>
      <c r="D106" s="112"/>
      <c r="E106" s="273"/>
      <c r="F106" s="106">
        <f>F105+5</f>
        <v>2048</v>
      </c>
      <c r="G106" s="236" t="s">
        <v>316</v>
      </c>
      <c r="H106" s="99"/>
      <c r="I106" s="80"/>
      <c r="J106" s="80" t="s">
        <v>144</v>
      </c>
      <c r="K106" s="91">
        <f t="shared" si="33"/>
        <v>32</v>
      </c>
      <c r="L106" s="238">
        <v>1000</v>
      </c>
      <c r="M106" s="101">
        <f t="shared" si="35"/>
        <v>32000</v>
      </c>
      <c r="N106" s="236" t="s">
        <v>317</v>
      </c>
      <c r="O106" s="197"/>
      <c r="P106" s="197"/>
    </row>
    <row r="107" spans="1:37" ht="105.75" customHeight="1">
      <c r="A107" s="142" t="s">
        <v>320</v>
      </c>
      <c r="B107" s="236" t="s">
        <v>321</v>
      </c>
      <c r="C107" s="116"/>
      <c r="D107" s="117"/>
      <c r="E107" s="274"/>
      <c r="F107" s="106" t="s">
        <v>158</v>
      </c>
      <c r="G107" s="236" t="s">
        <v>322</v>
      </c>
      <c r="H107" s="219"/>
      <c r="I107" s="80"/>
      <c r="J107" s="80" t="s">
        <v>110</v>
      </c>
      <c r="K107" s="91">
        <v>16</v>
      </c>
      <c r="L107" s="238">
        <v>688</v>
      </c>
      <c r="M107" s="220">
        <f>(L107*K107)+4500</f>
        <v>15508</v>
      </c>
      <c r="N107" s="110" t="s">
        <v>323</v>
      </c>
      <c r="O107" s="197"/>
      <c r="P107" s="197"/>
      <c r="R107" s="1"/>
      <c r="S107" s="1"/>
      <c r="T107" s="1"/>
      <c r="U107" s="1"/>
      <c r="V107" s="1"/>
      <c r="W107" s="1"/>
      <c r="X107" s="1"/>
      <c r="Y107" s="1"/>
      <c r="Z107" s="1"/>
      <c r="AA107" s="1"/>
      <c r="AB107" s="1"/>
      <c r="AC107" s="1"/>
      <c r="AD107" s="1"/>
      <c r="AE107" s="1"/>
      <c r="AF107" s="1"/>
      <c r="AG107" s="1"/>
      <c r="AH107" s="1"/>
      <c r="AI107" s="1"/>
      <c r="AJ107" s="1"/>
      <c r="AK107" s="1"/>
    </row>
    <row r="108" spans="1:37" ht="57" customHeight="1">
      <c r="A108" s="115" t="s">
        <v>324</v>
      </c>
      <c r="B108" s="110" t="s">
        <v>325</v>
      </c>
      <c r="C108" s="116"/>
      <c r="D108" s="117"/>
      <c r="E108" s="275"/>
      <c r="F108" s="106">
        <v>2022</v>
      </c>
      <c r="G108" s="236" t="s">
        <v>326</v>
      </c>
      <c r="H108" s="219"/>
      <c r="I108" s="80"/>
      <c r="J108" s="80"/>
      <c r="K108" s="228">
        <v>8</v>
      </c>
      <c r="L108" s="276">
        <v>688</v>
      </c>
      <c r="M108" s="277">
        <f t="shared" ref="M108:M113" si="36">L108*K108</f>
        <v>5504</v>
      </c>
      <c r="N108" s="236" t="s">
        <v>327</v>
      </c>
      <c r="O108" s="197"/>
      <c r="P108" s="197"/>
      <c r="Q108" s="1"/>
      <c r="R108" s="1"/>
      <c r="S108" s="1"/>
      <c r="T108" s="1"/>
      <c r="U108" s="1"/>
      <c r="V108" s="1"/>
      <c r="W108" s="1"/>
      <c r="X108" s="1"/>
      <c r="Y108" s="1"/>
      <c r="Z108" s="1"/>
      <c r="AA108" s="1"/>
      <c r="AB108" s="1"/>
      <c r="AC108" s="1"/>
      <c r="AD108" s="1"/>
      <c r="AE108" s="1"/>
      <c r="AF108" s="1"/>
      <c r="AG108" s="1"/>
      <c r="AH108" s="1"/>
      <c r="AI108" s="1"/>
      <c r="AJ108" s="1"/>
      <c r="AK108" s="1"/>
    </row>
    <row r="109" spans="1:37" ht="57" customHeight="1">
      <c r="A109" s="115"/>
      <c r="B109" s="110" t="s">
        <v>325</v>
      </c>
      <c r="C109" s="116"/>
      <c r="D109" s="117"/>
      <c r="E109" s="275"/>
      <c r="F109" s="106">
        <f t="shared" ref="F109:F113" si="37">F108+5</f>
        <v>2027</v>
      </c>
      <c r="G109" s="236" t="s">
        <v>326</v>
      </c>
      <c r="H109" s="219"/>
      <c r="I109" s="80"/>
      <c r="J109" s="80"/>
      <c r="K109" s="228">
        <v>8</v>
      </c>
      <c r="L109" s="276">
        <v>688</v>
      </c>
      <c r="M109" s="277">
        <f t="shared" si="36"/>
        <v>5504</v>
      </c>
      <c r="N109" s="236" t="s">
        <v>327</v>
      </c>
      <c r="O109" s="197"/>
      <c r="P109" s="197"/>
    </row>
    <row r="110" spans="1:37" ht="57" customHeight="1">
      <c r="A110" s="115"/>
      <c r="B110" s="110" t="s">
        <v>325</v>
      </c>
      <c r="C110" s="116"/>
      <c r="D110" s="117"/>
      <c r="E110" s="275"/>
      <c r="F110" s="106">
        <f t="shared" si="37"/>
        <v>2032</v>
      </c>
      <c r="G110" s="236" t="s">
        <v>326</v>
      </c>
      <c r="H110" s="219"/>
      <c r="I110" s="80"/>
      <c r="J110" s="80"/>
      <c r="K110" s="228">
        <v>8</v>
      </c>
      <c r="L110" s="276">
        <v>688</v>
      </c>
      <c r="M110" s="277">
        <f t="shared" si="36"/>
        <v>5504</v>
      </c>
      <c r="N110" s="236" t="s">
        <v>327</v>
      </c>
      <c r="O110" s="197"/>
      <c r="P110" s="197"/>
    </row>
    <row r="111" spans="1:37" ht="57" customHeight="1">
      <c r="A111" s="115"/>
      <c r="B111" s="110" t="s">
        <v>325</v>
      </c>
      <c r="C111" s="116"/>
      <c r="D111" s="117"/>
      <c r="E111" s="275"/>
      <c r="F111" s="106">
        <f t="shared" si="37"/>
        <v>2037</v>
      </c>
      <c r="G111" s="236" t="s">
        <v>326</v>
      </c>
      <c r="H111" s="219"/>
      <c r="I111" s="80"/>
      <c r="J111" s="80"/>
      <c r="K111" s="228">
        <v>8</v>
      </c>
      <c r="L111" s="276">
        <v>688</v>
      </c>
      <c r="M111" s="277">
        <f t="shared" si="36"/>
        <v>5504</v>
      </c>
      <c r="N111" s="236" t="s">
        <v>327</v>
      </c>
      <c r="O111" s="197"/>
      <c r="P111" s="197"/>
    </row>
    <row r="112" spans="1:37" ht="57" customHeight="1">
      <c r="A112" s="115"/>
      <c r="B112" s="110" t="s">
        <v>325</v>
      </c>
      <c r="C112" s="116"/>
      <c r="D112" s="117"/>
      <c r="E112" s="275"/>
      <c r="F112" s="106">
        <f t="shared" si="37"/>
        <v>2042</v>
      </c>
      <c r="G112" s="236" t="s">
        <v>326</v>
      </c>
      <c r="H112" s="219"/>
      <c r="I112" s="80"/>
      <c r="J112" s="80"/>
      <c r="K112" s="228">
        <v>8</v>
      </c>
      <c r="L112" s="276">
        <v>688</v>
      </c>
      <c r="M112" s="277">
        <f t="shared" si="36"/>
        <v>5504</v>
      </c>
      <c r="N112" s="236" t="s">
        <v>327</v>
      </c>
      <c r="O112" s="197"/>
      <c r="P112" s="197"/>
    </row>
    <row r="113" spans="1:18" ht="57" customHeight="1">
      <c r="A113" s="115"/>
      <c r="B113" s="110" t="s">
        <v>325</v>
      </c>
      <c r="C113" s="116"/>
      <c r="D113" s="117"/>
      <c r="E113" s="275"/>
      <c r="F113" s="106">
        <f t="shared" si="37"/>
        <v>2047</v>
      </c>
      <c r="G113" s="236" t="s">
        <v>326</v>
      </c>
      <c r="H113" s="219"/>
      <c r="I113" s="80"/>
      <c r="J113" s="80"/>
      <c r="K113" s="228">
        <v>8</v>
      </c>
      <c r="L113" s="276">
        <v>688</v>
      </c>
      <c r="M113" s="277">
        <f t="shared" si="36"/>
        <v>5504</v>
      </c>
      <c r="N113" s="236" t="s">
        <v>327</v>
      </c>
      <c r="O113" s="197"/>
      <c r="P113" s="197"/>
    </row>
    <row r="114" spans="1:18" ht="54" customHeight="1">
      <c r="A114" s="115" t="s">
        <v>328</v>
      </c>
      <c r="B114" s="231" t="s">
        <v>329</v>
      </c>
      <c r="C114" s="116"/>
      <c r="D114" s="117"/>
      <c r="E114" s="222"/>
      <c r="F114" s="106" t="s">
        <v>330</v>
      </c>
      <c r="G114" s="228" t="s">
        <v>331</v>
      </c>
      <c r="H114" s="231"/>
      <c r="I114" s="80"/>
      <c r="J114" s="80"/>
      <c r="K114" s="91"/>
      <c r="L114" s="81"/>
      <c r="M114" s="101"/>
      <c r="N114" s="261" t="s">
        <v>332</v>
      </c>
      <c r="O114" s="197"/>
      <c r="P114" s="197"/>
    </row>
    <row r="115" spans="1:18" ht="60" customHeight="1">
      <c r="A115" s="252" t="s">
        <v>333</v>
      </c>
      <c r="B115" s="253" t="s">
        <v>334</v>
      </c>
      <c r="C115" s="116"/>
      <c r="D115" s="117"/>
      <c r="E115" s="270"/>
      <c r="F115" s="255"/>
      <c r="G115" s="255"/>
      <c r="H115" s="278"/>
      <c r="I115" s="256"/>
      <c r="J115" s="256"/>
      <c r="K115" s="257"/>
      <c r="L115" s="279"/>
      <c r="M115" s="280"/>
      <c r="N115" s="281"/>
      <c r="O115" s="135"/>
      <c r="P115" s="135"/>
    </row>
    <row r="116" spans="1:18" ht="90.75" customHeight="1">
      <c r="A116" s="123" t="s">
        <v>335</v>
      </c>
      <c r="B116" s="94" t="s">
        <v>336</v>
      </c>
      <c r="C116" s="74"/>
      <c r="D116" s="75"/>
      <c r="E116" s="282" t="s">
        <v>337</v>
      </c>
      <c r="F116" s="90"/>
      <c r="G116" s="283" t="s">
        <v>338</v>
      </c>
      <c r="H116" s="99">
        <f>2021+10</f>
        <v>2031</v>
      </c>
      <c r="I116" s="92"/>
      <c r="J116" s="80" t="s">
        <v>144</v>
      </c>
      <c r="K116" s="91">
        <v>1</v>
      </c>
      <c r="L116" s="82">
        <v>10000</v>
      </c>
      <c r="M116" s="101">
        <f>L116*K116</f>
        <v>10000</v>
      </c>
      <c r="N116" s="284" t="s">
        <v>339</v>
      </c>
      <c r="O116" s="226"/>
      <c r="P116" s="135"/>
    </row>
    <row r="117" spans="1:18" ht="72" customHeight="1">
      <c r="A117" s="123"/>
      <c r="B117" s="94" t="s">
        <v>336</v>
      </c>
      <c r="C117" s="74"/>
      <c r="D117" s="75"/>
      <c r="E117" s="282" t="s">
        <v>340</v>
      </c>
      <c r="F117" s="106" t="s">
        <v>330</v>
      </c>
      <c r="G117" s="94" t="s">
        <v>341</v>
      </c>
      <c r="H117" s="99"/>
      <c r="I117" s="92"/>
      <c r="J117" s="80" t="s">
        <v>116</v>
      </c>
      <c r="K117" s="91"/>
      <c r="L117" s="82"/>
      <c r="M117" s="101"/>
      <c r="N117" s="284" t="s">
        <v>342</v>
      </c>
      <c r="O117" s="226"/>
      <c r="P117" s="135"/>
    </row>
    <row r="118" spans="1:18" ht="36" customHeight="1">
      <c r="A118" s="285"/>
      <c r="B118" s="94" t="s">
        <v>336</v>
      </c>
      <c r="C118" s="74"/>
      <c r="D118" s="75"/>
      <c r="E118" s="286"/>
      <c r="F118" s="287" t="s">
        <v>343</v>
      </c>
      <c r="G118" s="283" t="s">
        <v>344</v>
      </c>
      <c r="H118" s="99">
        <f t="shared" ref="H118:H119" si="38">2021+10</f>
        <v>2031</v>
      </c>
      <c r="I118" s="90"/>
      <c r="J118" s="91" t="s">
        <v>144</v>
      </c>
      <c r="K118" s="91">
        <v>2</v>
      </c>
      <c r="L118" s="82">
        <v>10000</v>
      </c>
      <c r="M118" s="101">
        <f t="shared" ref="M118:M129" si="39">L118*K118</f>
        <v>20000</v>
      </c>
      <c r="N118" s="284" t="s">
        <v>339</v>
      </c>
      <c r="O118" s="226"/>
      <c r="P118" s="135"/>
    </row>
    <row r="119" spans="1:18" ht="58.5" customHeight="1">
      <c r="A119" s="123"/>
      <c r="B119" s="263" t="s">
        <v>336</v>
      </c>
      <c r="C119" s="288"/>
      <c r="D119" s="289"/>
      <c r="E119" s="282"/>
      <c r="F119" s="290"/>
      <c r="G119" s="291" t="s">
        <v>345</v>
      </c>
      <c r="H119" s="292">
        <f t="shared" si="38"/>
        <v>2031</v>
      </c>
      <c r="I119" s="90"/>
      <c r="J119" s="91" t="s">
        <v>144</v>
      </c>
      <c r="K119" s="91">
        <v>1</v>
      </c>
      <c r="L119" s="293">
        <v>15000</v>
      </c>
      <c r="M119" s="277">
        <f t="shared" si="39"/>
        <v>15000</v>
      </c>
      <c r="N119" s="294" t="s">
        <v>346</v>
      </c>
      <c r="O119" s="197"/>
      <c r="P119" s="135"/>
      <c r="R119" s="1"/>
    </row>
    <row r="120" spans="1:18" ht="43.5" customHeight="1">
      <c r="A120" s="218"/>
      <c r="B120" s="263" t="s">
        <v>336</v>
      </c>
      <c r="C120" s="288"/>
      <c r="D120" s="289"/>
      <c r="E120" s="295"/>
      <c r="F120" s="290"/>
      <c r="G120" s="291" t="s">
        <v>347</v>
      </c>
      <c r="H120" s="292">
        <f>2021+15</f>
        <v>2036</v>
      </c>
      <c r="I120" s="90"/>
      <c r="J120" s="91" t="s">
        <v>144</v>
      </c>
      <c r="K120" s="91">
        <v>1</v>
      </c>
      <c r="L120" s="293">
        <v>15000</v>
      </c>
      <c r="M120" s="277">
        <f t="shared" si="39"/>
        <v>15000</v>
      </c>
      <c r="N120" s="294" t="s">
        <v>348</v>
      </c>
      <c r="O120" s="197"/>
      <c r="P120" s="135"/>
      <c r="R120" s="1"/>
    </row>
    <row r="121" spans="1:18" ht="42" customHeight="1">
      <c r="A121" s="218"/>
      <c r="B121" s="263" t="s">
        <v>336</v>
      </c>
      <c r="C121" s="288"/>
      <c r="D121" s="289"/>
      <c r="E121" s="282"/>
      <c r="F121" s="290"/>
      <c r="G121" s="291" t="s">
        <v>349</v>
      </c>
      <c r="H121" s="292">
        <f>2021+25</f>
        <v>2046</v>
      </c>
      <c r="I121" s="90"/>
      <c r="J121" s="91" t="s">
        <v>144</v>
      </c>
      <c r="K121" s="91">
        <v>1</v>
      </c>
      <c r="L121" s="293">
        <v>70000</v>
      </c>
      <c r="M121" s="277">
        <f t="shared" si="39"/>
        <v>70000</v>
      </c>
      <c r="N121" s="272" t="s">
        <v>350</v>
      </c>
      <c r="O121" s="226"/>
      <c r="P121" s="197"/>
      <c r="Q121" s="1"/>
    </row>
    <row r="122" spans="1:18" ht="38.25" customHeight="1">
      <c r="A122" s="285"/>
      <c r="B122" s="94" t="s">
        <v>336</v>
      </c>
      <c r="C122" s="74"/>
      <c r="D122" s="75"/>
      <c r="E122" s="286"/>
      <c r="F122" s="90"/>
      <c r="G122" s="283" t="s">
        <v>351</v>
      </c>
      <c r="H122" s="99">
        <f>H116+10</f>
        <v>2041</v>
      </c>
      <c r="I122" s="92"/>
      <c r="J122" s="80" t="s">
        <v>144</v>
      </c>
      <c r="K122" s="91">
        <v>1</v>
      </c>
      <c r="L122" s="82">
        <v>10000</v>
      </c>
      <c r="M122" s="101">
        <f t="shared" si="39"/>
        <v>10000</v>
      </c>
      <c r="N122" s="284" t="s">
        <v>339</v>
      </c>
      <c r="O122" s="226"/>
      <c r="P122" s="135"/>
    </row>
    <row r="123" spans="1:18" ht="34.5" customHeight="1">
      <c r="A123" s="285"/>
      <c r="B123" s="94" t="s">
        <v>336</v>
      </c>
      <c r="C123" s="74"/>
      <c r="D123" s="75"/>
      <c r="E123" s="286"/>
      <c r="F123" s="90"/>
      <c r="G123" s="283" t="s">
        <v>352</v>
      </c>
      <c r="H123" s="99">
        <f t="shared" ref="H123:H124" si="40">H118+10</f>
        <v>2041</v>
      </c>
      <c r="I123" s="90"/>
      <c r="J123" s="91" t="s">
        <v>144</v>
      </c>
      <c r="K123" s="91">
        <v>1</v>
      </c>
      <c r="L123" s="82">
        <v>10000</v>
      </c>
      <c r="M123" s="101">
        <f t="shared" si="39"/>
        <v>10000</v>
      </c>
      <c r="N123" s="284" t="s">
        <v>339</v>
      </c>
      <c r="O123" s="226"/>
      <c r="P123" s="135"/>
    </row>
    <row r="124" spans="1:18" ht="45" customHeight="1">
      <c r="A124" s="296"/>
      <c r="B124" s="263" t="s">
        <v>336</v>
      </c>
      <c r="C124" s="288"/>
      <c r="D124" s="289"/>
      <c r="E124" s="295"/>
      <c r="F124" s="290"/>
      <c r="G124" s="291" t="s">
        <v>353</v>
      </c>
      <c r="H124" s="292">
        <f t="shared" si="40"/>
        <v>2041</v>
      </c>
      <c r="I124" s="90"/>
      <c r="J124" s="91" t="s">
        <v>144</v>
      </c>
      <c r="K124" s="91">
        <v>1</v>
      </c>
      <c r="L124" s="293">
        <v>15000</v>
      </c>
      <c r="M124" s="277">
        <f t="shared" si="39"/>
        <v>15000</v>
      </c>
      <c r="N124" s="294" t="s">
        <v>346</v>
      </c>
      <c r="O124" s="197"/>
      <c r="P124" s="135"/>
    </row>
    <row r="125" spans="1:18" ht="43.5" customHeight="1">
      <c r="A125" s="296"/>
      <c r="B125" s="263" t="s">
        <v>336</v>
      </c>
      <c r="C125" s="288"/>
      <c r="D125" s="289"/>
      <c r="E125" s="295"/>
      <c r="F125" s="290"/>
      <c r="G125" s="291" t="s">
        <v>354</v>
      </c>
      <c r="H125" s="292">
        <f>H120+15</f>
        <v>2051</v>
      </c>
      <c r="I125" s="90"/>
      <c r="J125" s="91" t="s">
        <v>144</v>
      </c>
      <c r="K125" s="91">
        <v>1</v>
      </c>
      <c r="L125" s="293">
        <v>15000</v>
      </c>
      <c r="M125" s="277">
        <f t="shared" si="39"/>
        <v>15000</v>
      </c>
      <c r="N125" s="294" t="s">
        <v>348</v>
      </c>
      <c r="O125" s="197"/>
      <c r="P125" s="135"/>
    </row>
    <row r="126" spans="1:18" ht="41.25" customHeight="1">
      <c r="A126" s="285"/>
      <c r="B126" s="94" t="s">
        <v>336</v>
      </c>
      <c r="C126" s="74"/>
      <c r="D126" s="75"/>
      <c r="E126" s="286"/>
      <c r="F126" s="90"/>
      <c r="G126" s="283" t="s">
        <v>355</v>
      </c>
      <c r="H126" s="99">
        <f t="shared" ref="H126:H127" si="41">H122+10</f>
        <v>2051</v>
      </c>
      <c r="I126" s="92"/>
      <c r="J126" s="80" t="s">
        <v>144</v>
      </c>
      <c r="K126" s="91">
        <v>1</v>
      </c>
      <c r="L126" s="82">
        <v>10000</v>
      </c>
      <c r="M126" s="101">
        <f t="shared" si="39"/>
        <v>10000</v>
      </c>
      <c r="N126" s="94" t="s">
        <v>339</v>
      </c>
      <c r="O126" s="197"/>
      <c r="P126" s="135"/>
    </row>
    <row r="127" spans="1:18" ht="42" customHeight="1">
      <c r="A127" s="285"/>
      <c r="B127" s="94" t="s">
        <v>336</v>
      </c>
      <c r="C127" s="74"/>
      <c r="D127" s="75"/>
      <c r="E127" s="286"/>
      <c r="F127" s="90"/>
      <c r="G127" s="283" t="s">
        <v>356</v>
      </c>
      <c r="H127" s="99">
        <f t="shared" si="41"/>
        <v>2051</v>
      </c>
      <c r="I127" s="90"/>
      <c r="J127" s="91" t="s">
        <v>144</v>
      </c>
      <c r="K127" s="91">
        <v>1</v>
      </c>
      <c r="L127" s="82">
        <v>10000</v>
      </c>
      <c r="M127" s="101">
        <f t="shared" si="39"/>
        <v>10000</v>
      </c>
      <c r="N127" s="94" t="s">
        <v>339</v>
      </c>
      <c r="O127" s="197"/>
      <c r="P127" s="135"/>
    </row>
    <row r="128" spans="1:18" ht="42" customHeight="1">
      <c r="A128" s="285"/>
      <c r="B128" s="297" t="s">
        <v>336</v>
      </c>
      <c r="C128" s="288"/>
      <c r="D128" s="289"/>
      <c r="E128" s="295"/>
      <c r="F128" s="290"/>
      <c r="G128" s="291" t="s">
        <v>357</v>
      </c>
      <c r="H128" s="77">
        <f>2016+32</f>
        <v>2048</v>
      </c>
      <c r="I128" s="290"/>
      <c r="J128" s="298" t="s">
        <v>144</v>
      </c>
      <c r="K128" s="298">
        <f t="shared" ref="K128:K129" si="42">30+2</f>
        <v>32</v>
      </c>
      <c r="L128" s="293">
        <v>3500</v>
      </c>
      <c r="M128" s="277">
        <f t="shared" si="39"/>
        <v>112000</v>
      </c>
      <c r="N128" s="294" t="s">
        <v>358</v>
      </c>
      <c r="O128" s="197"/>
      <c r="P128" s="135"/>
    </row>
    <row r="129" spans="1:37" ht="66" customHeight="1">
      <c r="A129" s="218"/>
      <c r="B129" s="78" t="s">
        <v>336</v>
      </c>
      <c r="C129" s="74"/>
      <c r="D129" s="75"/>
      <c r="E129" s="286"/>
      <c r="F129" s="90"/>
      <c r="G129" s="283" t="s">
        <v>359</v>
      </c>
      <c r="H129" s="77">
        <f>1988+60</f>
        <v>2048</v>
      </c>
      <c r="I129" s="90"/>
      <c r="J129" s="221" t="s">
        <v>144</v>
      </c>
      <c r="K129" s="298">
        <f t="shared" si="42"/>
        <v>32</v>
      </c>
      <c r="L129" s="299">
        <v>80000</v>
      </c>
      <c r="M129" s="234">
        <f t="shared" si="39"/>
        <v>2560000</v>
      </c>
      <c r="N129" s="94" t="s">
        <v>360</v>
      </c>
      <c r="O129" s="197"/>
      <c r="P129" s="135"/>
    </row>
    <row r="130" spans="1:37" ht="39" customHeight="1">
      <c r="A130" s="252" t="s">
        <v>361</v>
      </c>
      <c r="B130" s="253" t="s">
        <v>362</v>
      </c>
      <c r="C130" s="111"/>
      <c r="D130" s="112"/>
      <c r="E130" s="231"/>
      <c r="F130" s="231"/>
      <c r="G130" s="231"/>
      <c r="H130" s="99"/>
      <c r="I130" s="91"/>
      <c r="J130" s="91"/>
      <c r="K130" s="91"/>
      <c r="L130" s="231"/>
      <c r="M130" s="101"/>
      <c r="N130" s="110"/>
      <c r="O130" s="135"/>
      <c r="P130" s="135"/>
      <c r="R130" s="154"/>
      <c r="S130" s="154"/>
      <c r="T130" s="154"/>
      <c r="U130" s="154"/>
      <c r="V130" s="154"/>
      <c r="W130" s="154"/>
      <c r="X130" s="154"/>
      <c r="Y130" s="154"/>
      <c r="Z130" s="154"/>
      <c r="AA130" s="154"/>
      <c r="AB130" s="154"/>
      <c r="AC130" s="154"/>
      <c r="AD130" s="154"/>
      <c r="AE130" s="154"/>
      <c r="AF130" s="154"/>
      <c r="AG130" s="154"/>
      <c r="AH130" s="154"/>
      <c r="AI130" s="154"/>
      <c r="AJ130" s="154"/>
      <c r="AK130" s="154"/>
    </row>
    <row r="131" spans="1:37" ht="36.75" customHeight="1">
      <c r="A131" s="252" t="s">
        <v>363</v>
      </c>
      <c r="B131" s="253" t="s">
        <v>364</v>
      </c>
      <c r="C131" s="116"/>
      <c r="D131" s="117"/>
      <c r="E131" s="270"/>
      <c r="F131" s="255"/>
      <c r="G131" s="255"/>
      <c r="H131" s="255"/>
      <c r="I131" s="256"/>
      <c r="J131" s="256"/>
      <c r="K131" s="257"/>
      <c r="L131" s="258"/>
      <c r="M131" s="259"/>
      <c r="N131" s="260"/>
      <c r="O131" s="197"/>
      <c r="P131" s="197"/>
    </row>
    <row r="132" spans="1:37" ht="154.5" customHeight="1">
      <c r="A132" s="300"/>
      <c r="B132" s="91" t="s">
        <v>365</v>
      </c>
      <c r="C132" s="111"/>
      <c r="D132" s="112"/>
      <c r="E132" s="76" t="s">
        <v>366</v>
      </c>
      <c r="F132" s="99">
        <f>2019+10</f>
        <v>2029</v>
      </c>
      <c r="G132" s="221" t="s">
        <v>367</v>
      </c>
      <c r="H132" s="99"/>
      <c r="I132" s="91"/>
      <c r="J132" s="91" t="s">
        <v>144</v>
      </c>
      <c r="K132" s="91">
        <v>3</v>
      </c>
      <c r="L132" s="91">
        <f t="shared" ref="L132:L134" si="43">6700*1.25</f>
        <v>8375</v>
      </c>
      <c r="M132" s="220">
        <f t="shared" ref="M132:M134" si="44">L132*K132</f>
        <v>25125</v>
      </c>
      <c r="N132" s="301" t="s">
        <v>368</v>
      </c>
      <c r="O132" s="197"/>
      <c r="P132" s="197"/>
      <c r="Q132" s="1"/>
      <c r="R132" s="1"/>
      <c r="S132" s="1"/>
      <c r="T132" s="1"/>
      <c r="U132" s="1"/>
      <c r="V132" s="1"/>
      <c r="W132" s="1"/>
      <c r="X132" s="1"/>
      <c r="Y132" s="1"/>
      <c r="Z132" s="1"/>
      <c r="AA132" s="1"/>
      <c r="AB132" s="1"/>
      <c r="AC132" s="1"/>
      <c r="AD132" s="1"/>
      <c r="AE132" s="1"/>
      <c r="AF132" s="1"/>
      <c r="AG132" s="1"/>
      <c r="AH132" s="1"/>
      <c r="AI132" s="1"/>
      <c r="AJ132" s="1"/>
      <c r="AK132" s="1"/>
    </row>
    <row r="133" spans="1:37" ht="144" customHeight="1">
      <c r="A133" s="302"/>
      <c r="B133" s="228" t="s">
        <v>365</v>
      </c>
      <c r="C133" s="116"/>
      <c r="D133" s="112"/>
      <c r="E133" s="76"/>
      <c r="F133" s="99">
        <f t="shared" ref="F133:F134" si="45">F132+10</f>
        <v>2039</v>
      </c>
      <c r="G133" s="221" t="s">
        <v>367</v>
      </c>
      <c r="H133" s="99"/>
      <c r="I133" s="91"/>
      <c r="J133" s="91" t="s">
        <v>144</v>
      </c>
      <c r="K133" s="91">
        <v>3</v>
      </c>
      <c r="L133" s="91">
        <f t="shared" si="43"/>
        <v>8375</v>
      </c>
      <c r="M133" s="101">
        <f t="shared" si="44"/>
        <v>25125</v>
      </c>
      <c r="N133" s="301" t="s">
        <v>369</v>
      </c>
      <c r="O133" s="197"/>
      <c r="P133" s="197"/>
    </row>
    <row r="134" spans="1:37" ht="150.75" customHeight="1">
      <c r="A134" s="302"/>
      <c r="B134" s="91" t="s">
        <v>365</v>
      </c>
      <c r="C134" s="116"/>
      <c r="D134" s="117"/>
      <c r="E134" s="303"/>
      <c r="F134" s="99">
        <f t="shared" si="45"/>
        <v>2049</v>
      </c>
      <c r="G134" s="221" t="s">
        <v>367</v>
      </c>
      <c r="H134" s="99"/>
      <c r="I134" s="91"/>
      <c r="J134" s="91" t="s">
        <v>144</v>
      </c>
      <c r="K134" s="91">
        <v>3</v>
      </c>
      <c r="L134" s="91">
        <f t="shared" si="43"/>
        <v>8375</v>
      </c>
      <c r="M134" s="101">
        <f t="shared" si="44"/>
        <v>25125</v>
      </c>
      <c r="N134" s="301" t="s">
        <v>370</v>
      </c>
      <c r="O134" s="197"/>
      <c r="P134" s="197"/>
    </row>
    <row r="135" spans="1:37" ht="103.5" customHeight="1">
      <c r="A135" s="115" t="s">
        <v>371</v>
      </c>
      <c r="B135" s="94" t="s">
        <v>372</v>
      </c>
      <c r="C135" s="288"/>
      <c r="D135" s="289"/>
      <c r="E135" s="282" t="s">
        <v>373</v>
      </c>
      <c r="F135" s="304" t="s">
        <v>158</v>
      </c>
      <c r="G135" s="265" t="s">
        <v>374</v>
      </c>
      <c r="H135" s="305"/>
      <c r="I135" s="92"/>
      <c r="J135" s="92"/>
      <c r="K135" s="90"/>
      <c r="L135" s="306"/>
      <c r="M135" s="307"/>
      <c r="N135" s="104" t="s">
        <v>375</v>
      </c>
      <c r="O135" s="197"/>
      <c r="P135" s="197"/>
      <c r="Q135" s="1"/>
    </row>
    <row r="136" spans="1:37" ht="42" customHeight="1">
      <c r="A136" s="123"/>
      <c r="B136" s="263" t="s">
        <v>372</v>
      </c>
      <c r="C136" s="288"/>
      <c r="D136" s="289"/>
      <c r="E136" s="308"/>
      <c r="F136" s="292">
        <f>2021+4</f>
        <v>2025</v>
      </c>
      <c r="G136" s="294" t="s">
        <v>376</v>
      </c>
      <c r="H136" s="292"/>
      <c r="I136" s="92"/>
      <c r="J136" s="80" t="s">
        <v>110</v>
      </c>
      <c r="K136" s="91">
        <v>1</v>
      </c>
      <c r="L136" s="266">
        <v>1500</v>
      </c>
      <c r="M136" s="277">
        <f>L136</f>
        <v>1500</v>
      </c>
      <c r="N136" s="294" t="s">
        <v>377</v>
      </c>
      <c r="O136" s="197"/>
      <c r="P136" s="197"/>
      <c r="Q136" s="1"/>
    </row>
    <row r="137" spans="1:37" ht="53.25" customHeight="1">
      <c r="A137" s="123"/>
      <c r="B137" s="263" t="s">
        <v>372</v>
      </c>
      <c r="C137" s="288"/>
      <c r="D137" s="289"/>
      <c r="E137" s="295"/>
      <c r="F137" s="290"/>
      <c r="G137" s="309" t="s">
        <v>378</v>
      </c>
      <c r="H137" s="292">
        <f t="shared" ref="H137:H139" si="46">2021+15</f>
        <v>2036</v>
      </c>
      <c r="I137" s="92"/>
      <c r="J137" s="80" t="s">
        <v>144</v>
      </c>
      <c r="K137" s="91">
        <v>1</v>
      </c>
      <c r="L137" s="266">
        <v>20000</v>
      </c>
      <c r="M137" s="277">
        <f t="shared" ref="M137:M139" si="47">L137*K137</f>
        <v>20000</v>
      </c>
      <c r="N137" s="294" t="s">
        <v>379</v>
      </c>
      <c r="O137" s="197"/>
      <c r="P137" s="197"/>
      <c r="Q137" s="1"/>
    </row>
    <row r="138" spans="1:37" ht="42" customHeight="1">
      <c r="A138" s="310"/>
      <c r="B138" s="94" t="s">
        <v>372</v>
      </c>
      <c r="C138" s="74"/>
      <c r="D138" s="75"/>
      <c r="E138" s="286"/>
      <c r="F138" s="90"/>
      <c r="G138" s="311" t="s">
        <v>380</v>
      </c>
      <c r="H138" s="99">
        <f t="shared" si="46"/>
        <v>2036</v>
      </c>
      <c r="I138" s="92"/>
      <c r="J138" s="80" t="s">
        <v>144</v>
      </c>
      <c r="K138" s="91">
        <v>1</v>
      </c>
      <c r="L138" s="82">
        <v>30000</v>
      </c>
      <c r="M138" s="101">
        <f t="shared" si="47"/>
        <v>30000</v>
      </c>
      <c r="N138" s="94" t="s">
        <v>381</v>
      </c>
      <c r="O138" s="197"/>
      <c r="P138" s="197"/>
      <c r="Q138" s="1"/>
    </row>
    <row r="139" spans="1:37" ht="34.5" customHeight="1">
      <c r="A139" s="310"/>
      <c r="B139" s="94" t="s">
        <v>372</v>
      </c>
      <c r="C139" s="74"/>
      <c r="D139" s="75"/>
      <c r="E139" s="286" t="s">
        <v>77</v>
      </c>
      <c r="F139" s="90"/>
      <c r="G139" s="311" t="s">
        <v>382</v>
      </c>
      <c r="H139" s="99">
        <f t="shared" si="46"/>
        <v>2036</v>
      </c>
      <c r="I139" s="92"/>
      <c r="J139" s="80" t="s">
        <v>144</v>
      </c>
      <c r="K139" s="91">
        <v>1</v>
      </c>
      <c r="L139" s="82">
        <v>10000</v>
      </c>
      <c r="M139" s="101">
        <f t="shared" si="47"/>
        <v>10000</v>
      </c>
      <c r="N139" s="94" t="s">
        <v>383</v>
      </c>
      <c r="O139" s="197"/>
      <c r="P139" s="197"/>
      <c r="Q139" s="1"/>
      <c r="R139" s="1"/>
      <c r="S139" s="1"/>
      <c r="T139" s="1"/>
      <c r="U139" s="1"/>
      <c r="V139" s="1"/>
      <c r="W139" s="1"/>
      <c r="X139" s="1"/>
      <c r="Y139" s="1"/>
      <c r="Z139" s="1"/>
      <c r="AA139" s="1"/>
      <c r="AB139" s="1"/>
      <c r="AC139" s="1"/>
      <c r="AD139" s="1"/>
      <c r="AE139" s="1"/>
      <c r="AF139" s="1"/>
      <c r="AG139" s="1"/>
      <c r="AH139" s="1"/>
      <c r="AI139" s="1"/>
      <c r="AJ139" s="1"/>
      <c r="AK139" s="1"/>
    </row>
    <row r="140" spans="1:37" ht="32.25" customHeight="1">
      <c r="A140" s="123"/>
      <c r="B140" s="263" t="s">
        <v>372</v>
      </c>
      <c r="C140" s="288"/>
      <c r="D140" s="289"/>
      <c r="E140" s="282"/>
      <c r="F140" s="292">
        <f>F136+4</f>
        <v>2029</v>
      </c>
      <c r="G140" s="294" t="s">
        <v>376</v>
      </c>
      <c r="H140" s="292"/>
      <c r="I140" s="92"/>
      <c r="J140" s="80" t="s">
        <v>144</v>
      </c>
      <c r="K140" s="91">
        <v>1</v>
      </c>
      <c r="L140" s="266">
        <v>1500</v>
      </c>
      <c r="M140" s="277">
        <f>L140</f>
        <v>1500</v>
      </c>
      <c r="N140" s="294" t="s">
        <v>377</v>
      </c>
      <c r="O140" s="197"/>
      <c r="P140" s="197"/>
      <c r="Q140" s="1"/>
    </row>
    <row r="141" spans="1:37" ht="39.75" customHeight="1">
      <c r="A141" s="123"/>
      <c r="B141" s="263" t="s">
        <v>372</v>
      </c>
      <c r="C141" s="288"/>
      <c r="D141" s="289"/>
      <c r="E141" s="295"/>
      <c r="F141" s="292"/>
      <c r="G141" s="291" t="s">
        <v>384</v>
      </c>
      <c r="H141" s="292">
        <f>2009+18</f>
        <v>2027</v>
      </c>
      <c r="I141" s="92"/>
      <c r="J141" s="80" t="s">
        <v>144</v>
      </c>
      <c r="K141" s="91">
        <v>1</v>
      </c>
      <c r="L141" s="266">
        <v>15000</v>
      </c>
      <c r="M141" s="277">
        <f t="shared" ref="M141:M142" si="48">L141*K141</f>
        <v>15000</v>
      </c>
      <c r="N141" s="294" t="s">
        <v>385</v>
      </c>
      <c r="O141" s="197"/>
      <c r="P141" s="197"/>
      <c r="Q141" s="1"/>
    </row>
    <row r="142" spans="1:37" ht="56.25" customHeight="1">
      <c r="A142" s="115"/>
      <c r="B142" s="94" t="s">
        <v>372</v>
      </c>
      <c r="C142" s="288"/>
      <c r="D142" s="289"/>
      <c r="E142" s="282"/>
      <c r="F142" s="292"/>
      <c r="G142" s="291" t="s">
        <v>386</v>
      </c>
      <c r="H142" s="292">
        <f>2021+25</f>
        <v>2046</v>
      </c>
      <c r="I142" s="90"/>
      <c r="J142" s="91" t="s">
        <v>144</v>
      </c>
      <c r="K142" s="99">
        <v>1</v>
      </c>
      <c r="L142" s="293">
        <v>70000</v>
      </c>
      <c r="M142" s="277">
        <f t="shared" si="48"/>
        <v>70000</v>
      </c>
      <c r="N142" s="294" t="s">
        <v>387</v>
      </c>
      <c r="O142" s="197"/>
      <c r="P142" s="197"/>
      <c r="Q142" s="1"/>
    </row>
    <row r="143" spans="1:37" ht="39.75" customHeight="1">
      <c r="A143" s="123"/>
      <c r="B143" s="263" t="s">
        <v>372</v>
      </c>
      <c r="C143" s="288"/>
      <c r="D143" s="289"/>
      <c r="E143" s="282"/>
      <c r="F143" s="292">
        <f>F140+4</f>
        <v>2033</v>
      </c>
      <c r="G143" s="312" t="s">
        <v>376</v>
      </c>
      <c r="H143" s="292"/>
      <c r="I143" s="92"/>
      <c r="J143" s="80" t="s">
        <v>144</v>
      </c>
      <c r="K143" s="91">
        <v>1</v>
      </c>
      <c r="L143" s="266">
        <v>1500</v>
      </c>
      <c r="M143" s="277">
        <f t="shared" ref="M143:M144" si="49">L143</f>
        <v>1500</v>
      </c>
      <c r="N143" s="294" t="s">
        <v>377</v>
      </c>
      <c r="O143" s="197"/>
      <c r="P143" s="197"/>
      <c r="Q143" s="1"/>
    </row>
    <row r="144" spans="1:37" ht="45" customHeight="1">
      <c r="A144" s="115"/>
      <c r="B144" s="94" t="s">
        <v>372</v>
      </c>
      <c r="C144" s="288"/>
      <c r="D144" s="289"/>
      <c r="E144" s="282"/>
      <c r="F144" s="292">
        <f>F143+4</f>
        <v>2037</v>
      </c>
      <c r="G144" s="294" t="s">
        <v>376</v>
      </c>
      <c r="H144" s="292"/>
      <c r="I144" s="92"/>
      <c r="J144" s="80" t="s">
        <v>144</v>
      </c>
      <c r="K144" s="91">
        <v>1</v>
      </c>
      <c r="L144" s="266">
        <v>1500</v>
      </c>
      <c r="M144" s="277">
        <f t="shared" si="49"/>
        <v>1500</v>
      </c>
      <c r="N144" s="294" t="s">
        <v>377</v>
      </c>
      <c r="O144" s="197"/>
      <c r="P144" s="197"/>
      <c r="Q144" s="1"/>
    </row>
    <row r="145" spans="1:37" ht="37.5" customHeight="1">
      <c r="A145" s="115"/>
      <c r="B145" s="263" t="s">
        <v>372</v>
      </c>
      <c r="C145" s="288"/>
      <c r="D145" s="289"/>
      <c r="E145" s="295"/>
      <c r="F145" s="292"/>
      <c r="G145" s="311" t="s">
        <v>388</v>
      </c>
      <c r="H145" s="99">
        <f>H139+10</f>
        <v>2046</v>
      </c>
      <c r="I145" s="92"/>
      <c r="J145" s="80" t="s">
        <v>144</v>
      </c>
      <c r="K145" s="91">
        <v>1</v>
      </c>
      <c r="L145" s="82">
        <v>10000</v>
      </c>
      <c r="M145" s="101">
        <f>L145*K145</f>
        <v>10000</v>
      </c>
      <c r="N145" s="94" t="s">
        <v>383</v>
      </c>
      <c r="O145" s="197"/>
      <c r="P145" s="197"/>
      <c r="Q145" s="1"/>
    </row>
    <row r="146" spans="1:37" ht="132" customHeight="1">
      <c r="A146" s="115"/>
      <c r="B146" s="94" t="s">
        <v>372</v>
      </c>
      <c r="C146" s="288"/>
      <c r="D146" s="289"/>
      <c r="E146" s="313" t="s">
        <v>389</v>
      </c>
      <c r="F146" s="292"/>
      <c r="G146" s="314" t="s">
        <v>390</v>
      </c>
      <c r="H146" s="304">
        <f>2021+25</f>
        <v>2046</v>
      </c>
      <c r="I146" s="315"/>
      <c r="J146" s="267" t="s">
        <v>144</v>
      </c>
      <c r="K146" s="316">
        <v>1</v>
      </c>
      <c r="L146" s="317">
        <f>275000*1.25</f>
        <v>343750</v>
      </c>
      <c r="M146" s="318"/>
      <c r="N146" s="319" t="s">
        <v>391</v>
      </c>
      <c r="O146" s="197"/>
      <c r="P146" s="197"/>
      <c r="Q146" s="1"/>
    </row>
    <row r="147" spans="1:37" ht="38.25" customHeight="1">
      <c r="A147" s="115"/>
      <c r="B147" s="263" t="s">
        <v>372</v>
      </c>
      <c r="C147" s="288"/>
      <c r="D147" s="289"/>
      <c r="E147" s="295"/>
      <c r="F147" s="292">
        <f>F144+4</f>
        <v>2041</v>
      </c>
      <c r="G147" s="294" t="s">
        <v>376</v>
      </c>
      <c r="H147" s="292"/>
      <c r="I147" s="320"/>
      <c r="J147" s="266" t="s">
        <v>144</v>
      </c>
      <c r="K147" s="298">
        <v>1</v>
      </c>
      <c r="L147" s="266">
        <v>1500</v>
      </c>
      <c r="M147" s="277">
        <f>L147</f>
        <v>1500</v>
      </c>
      <c r="N147" s="294" t="s">
        <v>377</v>
      </c>
      <c r="O147" s="197"/>
      <c r="P147" s="197"/>
      <c r="Q147" s="1"/>
    </row>
    <row r="148" spans="1:37" ht="37.5" customHeight="1">
      <c r="A148" s="123"/>
      <c r="B148" s="263" t="s">
        <v>372</v>
      </c>
      <c r="C148" s="288"/>
      <c r="D148" s="289"/>
      <c r="E148" s="282"/>
      <c r="F148" s="292"/>
      <c r="G148" s="291" t="s">
        <v>392</v>
      </c>
      <c r="H148" s="292">
        <f>H141+10</f>
        <v>2037</v>
      </c>
      <c r="I148" s="320"/>
      <c r="J148" s="266" t="s">
        <v>144</v>
      </c>
      <c r="K148" s="298">
        <v>1</v>
      </c>
      <c r="L148" s="266">
        <v>15000</v>
      </c>
      <c r="M148" s="277">
        <f t="shared" ref="M148:M150" si="50">L148*K148</f>
        <v>15000</v>
      </c>
      <c r="N148" s="294" t="s">
        <v>393</v>
      </c>
      <c r="O148" s="197"/>
      <c r="P148" s="197"/>
      <c r="Q148" s="1"/>
    </row>
    <row r="149" spans="1:37" ht="32.25" customHeight="1">
      <c r="A149" s="115"/>
      <c r="B149" s="263" t="s">
        <v>372</v>
      </c>
      <c r="C149" s="288"/>
      <c r="D149" s="289"/>
      <c r="E149" s="295"/>
      <c r="F149" s="292"/>
      <c r="G149" s="311" t="s">
        <v>394</v>
      </c>
      <c r="H149" s="99">
        <f>H138+14</f>
        <v>2050</v>
      </c>
      <c r="I149" s="92"/>
      <c r="J149" s="92" t="s">
        <v>144</v>
      </c>
      <c r="K149" s="91">
        <v>1</v>
      </c>
      <c r="L149" s="82">
        <v>30000</v>
      </c>
      <c r="M149" s="101">
        <f t="shared" si="50"/>
        <v>30000</v>
      </c>
      <c r="N149" s="94" t="s">
        <v>381</v>
      </c>
      <c r="O149" s="197"/>
      <c r="P149" s="197"/>
      <c r="Q149" s="1"/>
    </row>
    <row r="150" spans="1:37" ht="43.5" customHeight="1">
      <c r="A150" s="115"/>
      <c r="B150" s="94" t="s">
        <v>372</v>
      </c>
      <c r="C150" s="288"/>
      <c r="D150" s="289"/>
      <c r="E150" s="295"/>
      <c r="F150" s="292"/>
      <c r="G150" s="309" t="s">
        <v>395</v>
      </c>
      <c r="H150" s="292">
        <f>H137+15</f>
        <v>2051</v>
      </c>
      <c r="I150" s="320"/>
      <c r="J150" s="266" t="s">
        <v>144</v>
      </c>
      <c r="K150" s="298">
        <v>1</v>
      </c>
      <c r="L150" s="276">
        <v>20000</v>
      </c>
      <c r="M150" s="277">
        <f t="shared" si="50"/>
        <v>20000</v>
      </c>
      <c r="N150" s="294" t="s">
        <v>396</v>
      </c>
      <c r="O150" s="197"/>
      <c r="P150" s="197"/>
      <c r="Q150" s="1"/>
    </row>
    <row r="151" spans="1:37" ht="41.25" customHeight="1">
      <c r="A151" s="115"/>
      <c r="B151" s="263" t="s">
        <v>372</v>
      </c>
      <c r="C151" s="288"/>
      <c r="D151" s="289"/>
      <c r="E151" s="295"/>
      <c r="F151" s="292">
        <f>F147+4</f>
        <v>2045</v>
      </c>
      <c r="G151" s="294" t="s">
        <v>376</v>
      </c>
      <c r="H151" s="292"/>
      <c r="I151" s="320"/>
      <c r="J151" s="266" t="s">
        <v>144</v>
      </c>
      <c r="K151" s="298">
        <v>1</v>
      </c>
      <c r="L151" s="266">
        <v>1500</v>
      </c>
      <c r="M151" s="277">
        <f>L151</f>
        <v>1500</v>
      </c>
      <c r="N151" s="294" t="s">
        <v>377</v>
      </c>
      <c r="O151" s="197"/>
      <c r="P151" s="197"/>
      <c r="Q151" s="1"/>
    </row>
    <row r="152" spans="1:37" ht="41.25" customHeight="1">
      <c r="A152" s="115"/>
      <c r="B152" s="263"/>
      <c r="C152" s="288"/>
      <c r="D152" s="289"/>
      <c r="E152" s="295"/>
      <c r="F152" s="292"/>
      <c r="G152" s="291" t="s">
        <v>397</v>
      </c>
      <c r="H152" s="292">
        <f>H148+10</f>
        <v>2047</v>
      </c>
      <c r="I152" s="320"/>
      <c r="J152" s="266" t="s">
        <v>144</v>
      </c>
      <c r="K152" s="298">
        <v>1</v>
      </c>
      <c r="L152" s="266">
        <v>15000</v>
      </c>
      <c r="M152" s="277">
        <f>L152*K152</f>
        <v>15000</v>
      </c>
      <c r="N152" s="294" t="s">
        <v>393</v>
      </c>
      <c r="O152" s="197"/>
      <c r="P152" s="197"/>
      <c r="Q152" s="1"/>
    </row>
    <row r="153" spans="1:37" ht="43.5" customHeight="1">
      <c r="A153" s="115"/>
      <c r="B153" s="263" t="s">
        <v>372</v>
      </c>
      <c r="C153" s="288"/>
      <c r="D153" s="289"/>
      <c r="E153" s="295"/>
      <c r="F153" s="292">
        <f>F151+4</f>
        <v>2049</v>
      </c>
      <c r="G153" s="294" t="s">
        <v>376</v>
      </c>
      <c r="H153" s="292"/>
      <c r="I153" s="320"/>
      <c r="J153" s="266" t="s">
        <v>144</v>
      </c>
      <c r="K153" s="298">
        <v>1</v>
      </c>
      <c r="L153" s="266">
        <v>1500</v>
      </c>
      <c r="M153" s="277">
        <f>L153</f>
        <v>1500</v>
      </c>
      <c r="N153" s="294" t="s">
        <v>377</v>
      </c>
      <c r="O153" s="197"/>
      <c r="P153" s="197"/>
    </row>
    <row r="154" spans="1:37" ht="64.5" customHeight="1">
      <c r="A154" s="115" t="s">
        <v>398</v>
      </c>
      <c r="B154" s="94" t="s">
        <v>399</v>
      </c>
      <c r="C154" s="74"/>
      <c r="D154" s="75"/>
      <c r="E154" s="282" t="s">
        <v>400</v>
      </c>
      <c r="F154" s="90"/>
      <c r="G154" s="311" t="s">
        <v>401</v>
      </c>
      <c r="H154" s="77">
        <f>2034</f>
        <v>2034</v>
      </c>
      <c r="I154" s="92"/>
      <c r="J154" s="321" t="s">
        <v>144</v>
      </c>
      <c r="K154" s="221">
        <v>8</v>
      </c>
      <c r="L154" s="241">
        <v>2500</v>
      </c>
      <c r="M154" s="234">
        <f>L154*K154</f>
        <v>20000</v>
      </c>
      <c r="N154" s="94" t="s">
        <v>402</v>
      </c>
      <c r="O154" s="197"/>
      <c r="P154" s="197"/>
      <c r="Q154" s="1"/>
    </row>
    <row r="155" spans="1:37" ht="64.5" customHeight="1">
      <c r="A155" s="115"/>
      <c r="B155" s="94" t="s">
        <v>399</v>
      </c>
      <c r="C155" s="288"/>
      <c r="D155" s="289"/>
      <c r="E155" s="282" t="s">
        <v>403</v>
      </c>
      <c r="F155" s="77" t="s">
        <v>158</v>
      </c>
      <c r="G155" s="94" t="s">
        <v>404</v>
      </c>
      <c r="H155" s="99"/>
      <c r="I155" s="92"/>
      <c r="J155" s="80" t="s">
        <v>116</v>
      </c>
      <c r="K155" s="91"/>
      <c r="L155" s="82"/>
      <c r="M155" s="101"/>
      <c r="N155" s="94" t="s">
        <v>405</v>
      </c>
      <c r="O155" s="197"/>
      <c r="P155" s="197"/>
      <c r="Q155" s="1"/>
    </row>
    <row r="156" spans="1:37" ht="64.5" customHeight="1">
      <c r="A156" s="115"/>
      <c r="B156" s="94" t="s">
        <v>399</v>
      </c>
      <c r="C156" s="288"/>
      <c r="D156" s="289"/>
      <c r="E156" s="282"/>
      <c r="F156" s="77" t="s">
        <v>158</v>
      </c>
      <c r="G156" s="264" t="s">
        <v>406</v>
      </c>
      <c r="H156" s="94"/>
      <c r="I156" s="264"/>
      <c r="J156" s="264"/>
      <c r="K156" s="94"/>
      <c r="L156" s="242"/>
      <c r="M156" s="201"/>
      <c r="N156" s="94" t="s">
        <v>407</v>
      </c>
      <c r="O156" s="197"/>
      <c r="P156" s="197" t="s">
        <v>77</v>
      </c>
    </row>
    <row r="157" spans="1:37" ht="79.5" customHeight="1">
      <c r="A157" s="142"/>
      <c r="B157" s="94" t="s">
        <v>399</v>
      </c>
      <c r="C157" s="288"/>
      <c r="D157" s="289"/>
      <c r="E157" s="282"/>
      <c r="F157" s="77"/>
      <c r="G157" s="311" t="s">
        <v>408</v>
      </c>
      <c r="H157" s="77">
        <f>2017+30</f>
        <v>2047</v>
      </c>
      <c r="I157" s="92"/>
      <c r="J157" s="321" t="s">
        <v>144</v>
      </c>
      <c r="K157" s="221">
        <f>(5*30)+(3*10)+(5*3)</f>
        <v>195</v>
      </c>
      <c r="L157" s="241">
        <v>1000</v>
      </c>
      <c r="M157" s="234">
        <f>L157*K157</f>
        <v>195000</v>
      </c>
      <c r="N157" s="94" t="s">
        <v>409</v>
      </c>
      <c r="O157" s="197"/>
      <c r="P157" s="197"/>
      <c r="Q157" s="1"/>
      <c r="R157" s="1"/>
      <c r="S157" s="1"/>
      <c r="T157" s="1"/>
      <c r="U157" s="1"/>
      <c r="V157" s="1"/>
      <c r="W157" s="1"/>
      <c r="X157" s="1"/>
      <c r="Y157" s="1"/>
      <c r="Z157" s="1"/>
      <c r="AA157" s="1"/>
      <c r="AB157" s="1"/>
      <c r="AC157" s="1"/>
      <c r="AD157" s="1"/>
      <c r="AE157" s="1"/>
      <c r="AF157" s="1"/>
      <c r="AG157" s="1"/>
      <c r="AH157" s="1"/>
      <c r="AI157" s="1"/>
      <c r="AJ157" s="1"/>
      <c r="AK157" s="1"/>
    </row>
    <row r="158" spans="1:37" ht="105" customHeight="1">
      <c r="A158" s="142"/>
      <c r="B158" s="94" t="s">
        <v>399</v>
      </c>
      <c r="C158" s="74"/>
      <c r="D158" s="75"/>
      <c r="E158" s="322" t="s">
        <v>410</v>
      </c>
      <c r="F158" s="90"/>
      <c r="G158" s="311" t="s">
        <v>411</v>
      </c>
      <c r="H158" s="77">
        <f>1995+55</f>
        <v>2050</v>
      </c>
      <c r="I158" s="92"/>
      <c r="J158" s="80" t="s">
        <v>144</v>
      </c>
      <c r="K158" s="221">
        <v>4</v>
      </c>
      <c r="L158" s="241">
        <v>500000</v>
      </c>
      <c r="M158" s="234"/>
      <c r="N158" s="104" t="s">
        <v>412</v>
      </c>
      <c r="O158" s="152"/>
      <c r="P158" s="197"/>
    </row>
    <row r="159" spans="1:37" ht="27" customHeight="1">
      <c r="A159" s="323" t="s">
        <v>413</v>
      </c>
      <c r="B159" s="324" t="s">
        <v>414</v>
      </c>
      <c r="C159" s="288"/>
      <c r="D159" s="289"/>
      <c r="E159" s="90"/>
      <c r="F159" s="90"/>
      <c r="G159" s="90"/>
      <c r="H159" s="90"/>
      <c r="I159" s="92"/>
      <c r="J159" s="92"/>
      <c r="K159" s="90"/>
      <c r="L159" s="92"/>
      <c r="M159" s="325"/>
      <c r="N159" s="90"/>
      <c r="O159" s="135"/>
      <c r="P159" s="135"/>
    </row>
    <row r="160" spans="1:37" ht="171" customHeight="1">
      <c r="A160" s="161" t="s">
        <v>415</v>
      </c>
      <c r="B160" s="78" t="s">
        <v>416</v>
      </c>
      <c r="C160" s="74"/>
      <c r="D160" s="75"/>
      <c r="E160" s="118" t="s">
        <v>417</v>
      </c>
      <c r="F160" s="99" t="s">
        <v>158</v>
      </c>
      <c r="G160" s="90" t="s">
        <v>418</v>
      </c>
      <c r="H160" s="90"/>
      <c r="I160" s="92"/>
      <c r="J160" s="92"/>
      <c r="K160" s="92"/>
      <c r="L160" s="249"/>
      <c r="M160" s="250"/>
      <c r="N160" s="201" t="s">
        <v>419</v>
      </c>
      <c r="O160" s="84"/>
      <c r="P160" s="84"/>
      <c r="Q160" s="85"/>
      <c r="R160" s="85"/>
      <c r="S160" s="85"/>
      <c r="T160" s="85"/>
      <c r="U160" s="85"/>
      <c r="V160" s="85"/>
      <c r="W160" s="85"/>
      <c r="X160" s="85"/>
      <c r="Y160" s="85"/>
      <c r="Z160" s="85"/>
      <c r="AA160" s="85"/>
      <c r="AB160" s="85"/>
      <c r="AC160" s="85"/>
      <c r="AD160" s="85"/>
      <c r="AE160" s="85"/>
      <c r="AF160" s="85"/>
      <c r="AG160" s="85"/>
      <c r="AH160" s="85"/>
      <c r="AI160" s="85"/>
      <c r="AJ160" s="85"/>
      <c r="AK160" s="85"/>
    </row>
    <row r="161" spans="1:37" ht="73.5" customHeight="1">
      <c r="A161" s="161"/>
      <c r="B161" s="94" t="s">
        <v>416</v>
      </c>
      <c r="C161" s="326"/>
      <c r="D161" s="327"/>
      <c r="E161" s="286"/>
      <c r="F161" s="90"/>
      <c r="G161" s="90" t="s">
        <v>420</v>
      </c>
      <c r="H161" s="99">
        <v>2025</v>
      </c>
      <c r="I161" s="92"/>
      <c r="J161" s="80" t="s">
        <v>144</v>
      </c>
      <c r="K161" s="80">
        <v>3</v>
      </c>
      <c r="L161" s="101">
        <v>20000</v>
      </c>
      <c r="M161" s="101">
        <f t="shared" ref="M161:M162" si="51">L161*K161</f>
        <v>60000</v>
      </c>
      <c r="N161" s="201" t="s">
        <v>421</v>
      </c>
      <c r="O161" s="197"/>
      <c r="P161" s="197"/>
      <c r="Q161" s="1"/>
      <c r="R161" s="154"/>
      <c r="S161" s="154"/>
      <c r="T161" s="154"/>
      <c r="U161" s="154"/>
      <c r="V161" s="154"/>
      <c r="W161" s="154"/>
      <c r="X161" s="154"/>
      <c r="Y161" s="154"/>
      <c r="Z161" s="154"/>
      <c r="AA161" s="154"/>
      <c r="AB161" s="154"/>
      <c r="AC161" s="154"/>
      <c r="AD161" s="154"/>
      <c r="AE161" s="154"/>
      <c r="AF161" s="154"/>
      <c r="AG161" s="154"/>
      <c r="AH161" s="154"/>
      <c r="AI161" s="154"/>
      <c r="AJ161" s="154"/>
      <c r="AK161" s="154"/>
    </row>
    <row r="162" spans="1:37" ht="73.5" customHeight="1">
      <c r="A162" s="161"/>
      <c r="B162" s="94" t="s">
        <v>416</v>
      </c>
      <c r="C162" s="326"/>
      <c r="D162" s="327"/>
      <c r="E162" s="286"/>
      <c r="F162" s="90"/>
      <c r="G162" s="90" t="s">
        <v>420</v>
      </c>
      <c r="H162" s="99">
        <f>H161+15</f>
        <v>2040</v>
      </c>
      <c r="I162" s="92"/>
      <c r="J162" s="80" t="s">
        <v>144</v>
      </c>
      <c r="K162" s="80">
        <v>3</v>
      </c>
      <c r="L162" s="101">
        <v>20000</v>
      </c>
      <c r="M162" s="101">
        <f t="shared" si="51"/>
        <v>60000</v>
      </c>
      <c r="N162" s="201" t="s">
        <v>421</v>
      </c>
      <c r="O162" s="197"/>
      <c r="P162" s="197"/>
      <c r="Q162" s="1"/>
      <c r="R162" s="154"/>
      <c r="S162" s="154"/>
      <c r="T162" s="154"/>
      <c r="U162" s="154"/>
      <c r="V162" s="154"/>
      <c r="W162" s="154"/>
      <c r="X162" s="154"/>
      <c r="Y162" s="154"/>
      <c r="Z162" s="154"/>
      <c r="AA162" s="154"/>
      <c r="AB162" s="154"/>
      <c r="AC162" s="154"/>
      <c r="AD162" s="154"/>
      <c r="AE162" s="154"/>
      <c r="AF162" s="154"/>
      <c r="AG162" s="154"/>
      <c r="AH162" s="154"/>
      <c r="AI162" s="154"/>
      <c r="AJ162" s="154"/>
      <c r="AK162" s="154"/>
    </row>
    <row r="163" spans="1:37" ht="78.75" customHeight="1">
      <c r="A163" s="161" t="s">
        <v>422</v>
      </c>
      <c r="B163" s="104" t="s">
        <v>423</v>
      </c>
      <c r="C163" s="326"/>
      <c r="D163" s="327"/>
      <c r="E163" s="308" t="s">
        <v>424</v>
      </c>
      <c r="F163" s="304">
        <f>2017+6</f>
        <v>2023</v>
      </c>
      <c r="G163" s="104" t="s">
        <v>425</v>
      </c>
      <c r="H163" s="305"/>
      <c r="I163" s="315"/>
      <c r="J163" s="267" t="s">
        <v>144</v>
      </c>
      <c r="K163" s="316">
        <f t="shared" ref="K163:K172" si="52">30+2</f>
        <v>32</v>
      </c>
      <c r="L163" s="317">
        <v>1000</v>
      </c>
      <c r="M163" s="318">
        <f t="shared" ref="M163:M167" si="53">K163*L163</f>
        <v>32000</v>
      </c>
      <c r="N163" s="104" t="s">
        <v>426</v>
      </c>
      <c r="O163" s="197"/>
      <c r="P163" s="197"/>
      <c r="Q163" s="1"/>
      <c r="R163" s="1"/>
      <c r="S163" s="1"/>
      <c r="T163" s="1"/>
      <c r="U163" s="1"/>
      <c r="V163" s="1"/>
      <c r="W163" s="1"/>
      <c r="X163" s="1"/>
      <c r="Y163" s="1"/>
      <c r="Z163" s="1"/>
      <c r="AA163" s="1"/>
      <c r="AB163" s="1"/>
      <c r="AC163" s="1"/>
      <c r="AD163" s="1"/>
      <c r="AE163" s="1"/>
      <c r="AF163" s="1"/>
      <c r="AG163" s="1"/>
      <c r="AH163" s="1"/>
      <c r="AI163" s="1"/>
      <c r="AJ163" s="1"/>
      <c r="AK163" s="1"/>
    </row>
    <row r="164" spans="1:37" ht="78.75" customHeight="1">
      <c r="A164" s="161"/>
      <c r="B164" s="104" t="s">
        <v>423</v>
      </c>
      <c r="C164" s="288"/>
      <c r="D164" s="289"/>
      <c r="E164" s="308"/>
      <c r="F164" s="304">
        <f t="shared" ref="F164:F167" si="54">F163+6</f>
        <v>2029</v>
      </c>
      <c r="G164" s="104" t="s">
        <v>425</v>
      </c>
      <c r="H164" s="305"/>
      <c r="I164" s="315"/>
      <c r="J164" s="267" t="s">
        <v>144</v>
      </c>
      <c r="K164" s="316">
        <f t="shared" si="52"/>
        <v>32</v>
      </c>
      <c r="L164" s="317">
        <v>1000</v>
      </c>
      <c r="M164" s="318">
        <f t="shared" si="53"/>
        <v>32000</v>
      </c>
      <c r="N164" s="104" t="s">
        <v>426</v>
      </c>
      <c r="O164" s="197"/>
      <c r="P164" s="197"/>
    </row>
    <row r="165" spans="1:37" ht="78.75" customHeight="1">
      <c r="A165" s="161"/>
      <c r="B165" s="104" t="s">
        <v>423</v>
      </c>
      <c r="C165" s="288"/>
      <c r="D165" s="289"/>
      <c r="E165" s="308"/>
      <c r="F165" s="304">
        <f t="shared" si="54"/>
        <v>2035</v>
      </c>
      <c r="G165" s="104" t="s">
        <v>425</v>
      </c>
      <c r="H165" s="305"/>
      <c r="I165" s="315"/>
      <c r="J165" s="315" t="s">
        <v>144</v>
      </c>
      <c r="K165" s="316">
        <f t="shared" si="52"/>
        <v>32</v>
      </c>
      <c r="L165" s="317">
        <v>1000</v>
      </c>
      <c r="M165" s="318">
        <f t="shared" si="53"/>
        <v>32000</v>
      </c>
      <c r="N165" s="104" t="s">
        <v>426</v>
      </c>
      <c r="O165" s="197"/>
      <c r="P165" s="197"/>
    </row>
    <row r="166" spans="1:37" ht="78.75" customHeight="1">
      <c r="A166" s="161"/>
      <c r="B166" s="104" t="s">
        <v>423</v>
      </c>
      <c r="C166" s="288"/>
      <c r="D166" s="289"/>
      <c r="E166" s="308"/>
      <c r="F166" s="304">
        <f t="shared" si="54"/>
        <v>2041</v>
      </c>
      <c r="G166" s="104" t="s">
        <v>425</v>
      </c>
      <c r="H166" s="305"/>
      <c r="I166" s="315"/>
      <c r="J166" s="315" t="s">
        <v>144</v>
      </c>
      <c r="K166" s="316">
        <f t="shared" si="52"/>
        <v>32</v>
      </c>
      <c r="L166" s="317">
        <v>1000</v>
      </c>
      <c r="M166" s="318">
        <f t="shared" si="53"/>
        <v>32000</v>
      </c>
      <c r="N166" s="104" t="s">
        <v>426</v>
      </c>
      <c r="O166" s="197"/>
      <c r="P166" s="197"/>
    </row>
    <row r="167" spans="1:37" ht="78.75" customHeight="1">
      <c r="A167" s="161"/>
      <c r="B167" s="104" t="s">
        <v>423</v>
      </c>
      <c r="C167" s="288"/>
      <c r="D167" s="289"/>
      <c r="E167" s="308"/>
      <c r="F167" s="304">
        <f t="shared" si="54"/>
        <v>2047</v>
      </c>
      <c r="G167" s="104" t="s">
        <v>425</v>
      </c>
      <c r="H167" s="305"/>
      <c r="I167" s="315"/>
      <c r="J167" s="315" t="s">
        <v>144</v>
      </c>
      <c r="K167" s="316">
        <f t="shared" si="52"/>
        <v>32</v>
      </c>
      <c r="L167" s="317">
        <v>1000</v>
      </c>
      <c r="M167" s="318">
        <f t="shared" si="53"/>
        <v>32000</v>
      </c>
      <c r="N167" s="104" t="s">
        <v>426</v>
      </c>
      <c r="O167" s="197"/>
      <c r="P167" s="197"/>
    </row>
    <row r="168" spans="1:37" ht="51.75" customHeight="1">
      <c r="A168" s="115" t="s">
        <v>427</v>
      </c>
      <c r="B168" s="110" t="s">
        <v>428</v>
      </c>
      <c r="C168" s="111"/>
      <c r="D168" s="112"/>
      <c r="E168" s="308" t="s">
        <v>424</v>
      </c>
      <c r="F168" s="99">
        <f>2017+6</f>
        <v>2023</v>
      </c>
      <c r="G168" s="231" t="s">
        <v>429</v>
      </c>
      <c r="H168" s="231"/>
      <c r="I168" s="80"/>
      <c r="J168" s="80" t="s">
        <v>144</v>
      </c>
      <c r="K168" s="316">
        <f t="shared" si="52"/>
        <v>32</v>
      </c>
      <c r="L168" s="317">
        <v>1000</v>
      </c>
      <c r="M168" s="234" t="s">
        <v>430</v>
      </c>
      <c r="N168" s="221" t="s">
        <v>431</v>
      </c>
      <c r="O168" s="84"/>
      <c r="P168" s="84"/>
      <c r="Q168" s="85"/>
      <c r="R168" s="85"/>
      <c r="S168" s="85"/>
      <c r="T168" s="85"/>
      <c r="U168" s="85"/>
      <c r="V168" s="85"/>
      <c r="W168" s="85"/>
      <c r="X168" s="85"/>
      <c r="Y168" s="85"/>
      <c r="Z168" s="85"/>
      <c r="AA168" s="85"/>
      <c r="AB168" s="85"/>
      <c r="AC168" s="85"/>
      <c r="AD168" s="85"/>
      <c r="AE168" s="85"/>
      <c r="AF168" s="85"/>
      <c r="AG168" s="85"/>
      <c r="AH168" s="85"/>
      <c r="AI168" s="85"/>
      <c r="AJ168" s="85"/>
      <c r="AK168" s="85"/>
    </row>
    <row r="169" spans="1:37" ht="49.5" customHeight="1">
      <c r="A169" s="115"/>
      <c r="B169" s="110" t="s">
        <v>428</v>
      </c>
      <c r="C169" s="111"/>
      <c r="D169" s="112"/>
      <c r="E169" s="76"/>
      <c r="F169" s="99">
        <f t="shared" ref="F169:F172" si="55">F168+6</f>
        <v>2029</v>
      </c>
      <c r="G169" s="231" t="s">
        <v>429</v>
      </c>
      <c r="H169" s="231"/>
      <c r="I169" s="80"/>
      <c r="J169" s="80" t="s">
        <v>144</v>
      </c>
      <c r="K169" s="316">
        <f t="shared" si="52"/>
        <v>32</v>
      </c>
      <c r="L169" s="317">
        <v>1000</v>
      </c>
      <c r="M169" s="234" t="s">
        <v>430</v>
      </c>
      <c r="N169" s="221" t="s">
        <v>431</v>
      </c>
      <c r="O169" s="197"/>
      <c r="P169" s="197"/>
      <c r="Q169" s="1"/>
    </row>
    <row r="170" spans="1:37" ht="49.5" customHeight="1">
      <c r="A170" s="115"/>
      <c r="B170" s="110" t="s">
        <v>428</v>
      </c>
      <c r="C170" s="137"/>
      <c r="D170" s="138"/>
      <c r="E170" s="145"/>
      <c r="F170" s="99">
        <f t="shared" si="55"/>
        <v>2035</v>
      </c>
      <c r="G170" s="231" t="s">
        <v>429</v>
      </c>
      <c r="H170" s="231"/>
      <c r="I170" s="80"/>
      <c r="J170" s="80" t="s">
        <v>144</v>
      </c>
      <c r="K170" s="316">
        <f t="shared" si="52"/>
        <v>32</v>
      </c>
      <c r="L170" s="317">
        <v>1000</v>
      </c>
      <c r="M170" s="234" t="s">
        <v>430</v>
      </c>
      <c r="N170" s="221" t="s">
        <v>431</v>
      </c>
      <c r="O170" s="197"/>
      <c r="P170" s="197"/>
      <c r="Q170" s="1"/>
    </row>
    <row r="171" spans="1:37" ht="47.25" customHeight="1">
      <c r="A171" s="115"/>
      <c r="B171" s="110" t="s">
        <v>428</v>
      </c>
      <c r="C171" s="137"/>
      <c r="D171" s="138"/>
      <c r="E171" s="145"/>
      <c r="F171" s="99">
        <f t="shared" si="55"/>
        <v>2041</v>
      </c>
      <c r="G171" s="231" t="s">
        <v>429</v>
      </c>
      <c r="H171" s="231"/>
      <c r="I171" s="80"/>
      <c r="J171" s="80" t="s">
        <v>144</v>
      </c>
      <c r="K171" s="316">
        <f t="shared" si="52"/>
        <v>32</v>
      </c>
      <c r="L171" s="317">
        <v>1000</v>
      </c>
      <c r="M171" s="234" t="s">
        <v>430</v>
      </c>
      <c r="N171" s="221" t="s">
        <v>431</v>
      </c>
      <c r="O171" s="197"/>
      <c r="P171" s="197"/>
      <c r="Q171" s="1"/>
    </row>
    <row r="172" spans="1:37" ht="42" customHeight="1">
      <c r="A172" s="115"/>
      <c r="B172" s="110" t="s">
        <v>428</v>
      </c>
      <c r="C172" s="137"/>
      <c r="D172" s="138"/>
      <c r="E172" s="145"/>
      <c r="F172" s="99">
        <f t="shared" si="55"/>
        <v>2047</v>
      </c>
      <c r="G172" s="231" t="s">
        <v>429</v>
      </c>
      <c r="H172" s="231"/>
      <c r="I172" s="80"/>
      <c r="J172" s="80" t="s">
        <v>144</v>
      </c>
      <c r="K172" s="316">
        <f t="shared" si="52"/>
        <v>32</v>
      </c>
      <c r="L172" s="317">
        <v>1000</v>
      </c>
      <c r="M172" s="234" t="s">
        <v>430</v>
      </c>
      <c r="N172" s="221" t="s">
        <v>431</v>
      </c>
      <c r="O172" s="197"/>
      <c r="P172" s="197"/>
      <c r="Q172" s="1"/>
    </row>
    <row r="173" spans="1:37" ht="45.75" customHeight="1">
      <c r="A173" s="115" t="s">
        <v>432</v>
      </c>
      <c r="B173" s="110" t="s">
        <v>433</v>
      </c>
      <c r="C173" s="116"/>
      <c r="D173" s="117"/>
      <c r="E173" s="99" t="s">
        <v>434</v>
      </c>
      <c r="F173" s="99"/>
      <c r="G173" s="328" t="s">
        <v>435</v>
      </c>
      <c r="H173" s="99"/>
      <c r="I173" s="99"/>
      <c r="J173" s="80" t="s">
        <v>144</v>
      </c>
      <c r="K173" s="316"/>
      <c r="L173" s="81"/>
      <c r="M173" s="234"/>
      <c r="N173" s="221" t="s">
        <v>436</v>
      </c>
      <c r="O173" s="135"/>
      <c r="P173" s="135"/>
    </row>
    <row r="174" spans="1:37" ht="36.75" customHeight="1">
      <c r="A174" s="252" t="s">
        <v>437</v>
      </c>
      <c r="B174" s="269" t="s">
        <v>438</v>
      </c>
      <c r="C174" s="116"/>
      <c r="D174" s="117"/>
      <c r="E174" s="270"/>
      <c r="F174" s="269"/>
      <c r="G174" s="329"/>
      <c r="H174" s="269"/>
      <c r="I174" s="269"/>
      <c r="J174" s="269"/>
      <c r="K174" s="269"/>
      <c r="L174" s="330"/>
      <c r="M174" s="331"/>
      <c r="N174" s="257"/>
      <c r="O174" s="135"/>
      <c r="P174" s="135"/>
    </row>
    <row r="175" spans="1:37" ht="29.25" customHeight="1">
      <c r="A175" s="332" t="s">
        <v>439</v>
      </c>
      <c r="B175" s="333" t="s">
        <v>440</v>
      </c>
      <c r="C175" s="111"/>
      <c r="D175" s="112"/>
      <c r="E175" s="270"/>
      <c r="F175" s="278"/>
      <c r="G175" s="334"/>
      <c r="H175" s="278"/>
      <c r="I175" s="256"/>
      <c r="J175" s="256"/>
      <c r="K175" s="257"/>
      <c r="L175" s="279"/>
      <c r="M175" s="280"/>
      <c r="N175" s="257"/>
      <c r="O175" s="135"/>
      <c r="P175" s="135"/>
    </row>
    <row r="176" spans="1:37" ht="100.5" customHeight="1">
      <c r="A176" s="123" t="s">
        <v>441</v>
      </c>
      <c r="B176" s="110" t="s">
        <v>442</v>
      </c>
      <c r="C176" s="88"/>
      <c r="D176" s="89"/>
      <c r="E176" s="76" t="s">
        <v>443</v>
      </c>
      <c r="F176" s="231"/>
      <c r="G176" s="94" t="s">
        <v>444</v>
      </c>
      <c r="H176" s="77">
        <f t="shared" ref="H176:H179" si="56">1988+60</f>
        <v>2048</v>
      </c>
      <c r="I176" s="92"/>
      <c r="J176" s="80" t="s">
        <v>445</v>
      </c>
      <c r="K176" s="91">
        <f>30+2</f>
        <v>32</v>
      </c>
      <c r="L176" s="81">
        <v>25000</v>
      </c>
      <c r="M176" s="101">
        <f>L176*K176</f>
        <v>800000</v>
      </c>
      <c r="N176" s="221" t="s">
        <v>446</v>
      </c>
      <c r="O176" s="135"/>
      <c r="P176" s="135"/>
    </row>
    <row r="177" spans="1:17" ht="84.75" customHeight="1">
      <c r="A177" s="123"/>
      <c r="B177" s="110" t="s">
        <v>442</v>
      </c>
      <c r="C177" s="97"/>
      <c r="D177" s="98"/>
      <c r="E177" s="76"/>
      <c r="F177" s="231"/>
      <c r="G177" s="283" t="s">
        <v>447</v>
      </c>
      <c r="H177" s="77">
        <f t="shared" si="56"/>
        <v>2048</v>
      </c>
      <c r="I177" s="92"/>
      <c r="J177" s="80" t="s">
        <v>445</v>
      </c>
      <c r="K177" s="91"/>
      <c r="L177" s="81"/>
      <c r="M177" s="101">
        <f>50000+30000+30000</f>
        <v>110000</v>
      </c>
      <c r="N177" s="221" t="s">
        <v>448</v>
      </c>
      <c r="O177" s="135"/>
      <c r="P177" s="135"/>
    </row>
    <row r="178" spans="1:17" ht="84.75" customHeight="1">
      <c r="A178" s="123"/>
      <c r="B178" s="110" t="s">
        <v>442</v>
      </c>
      <c r="C178" s="97"/>
      <c r="D178" s="98"/>
      <c r="E178" s="76"/>
      <c r="F178" s="231"/>
      <c r="G178" s="335" t="s">
        <v>449</v>
      </c>
      <c r="H178" s="77">
        <f t="shared" si="56"/>
        <v>2048</v>
      </c>
      <c r="I178" s="92"/>
      <c r="J178" s="80" t="s">
        <v>445</v>
      </c>
      <c r="K178" s="91"/>
      <c r="L178" s="81"/>
      <c r="M178" s="101">
        <v>2000000</v>
      </c>
      <c r="N178" s="94" t="s">
        <v>450</v>
      </c>
      <c r="O178" s="135"/>
      <c r="P178" s="135"/>
    </row>
    <row r="179" spans="1:17" ht="75" customHeight="1">
      <c r="A179" s="336" t="s">
        <v>451</v>
      </c>
      <c r="B179" s="333" t="s">
        <v>452</v>
      </c>
      <c r="C179" s="111"/>
      <c r="D179" s="112"/>
      <c r="E179" s="118" t="s">
        <v>453</v>
      </c>
      <c r="F179" s="90"/>
      <c r="G179" s="94" t="s">
        <v>454</v>
      </c>
      <c r="H179" s="77">
        <f t="shared" si="56"/>
        <v>2048</v>
      </c>
      <c r="I179" s="92"/>
      <c r="J179" s="80" t="s">
        <v>445</v>
      </c>
      <c r="K179" s="81">
        <v>150000</v>
      </c>
      <c r="L179" s="81">
        <v>3</v>
      </c>
      <c r="M179" s="101">
        <f>K179*L179</f>
        <v>450000</v>
      </c>
      <c r="N179" s="221" t="s">
        <v>455</v>
      </c>
      <c r="O179" s="337"/>
      <c r="P179" s="135"/>
    </row>
    <row r="180" spans="1:17" ht="163.5" customHeight="1">
      <c r="A180" s="338"/>
      <c r="B180" s="339" t="s">
        <v>452</v>
      </c>
      <c r="C180" s="74"/>
      <c r="D180" s="75"/>
      <c r="E180" s="118" t="s">
        <v>456</v>
      </c>
      <c r="F180" s="99" t="s">
        <v>158</v>
      </c>
      <c r="G180" s="94" t="s">
        <v>457</v>
      </c>
      <c r="H180" s="90"/>
      <c r="I180" s="92"/>
      <c r="J180" s="92"/>
      <c r="K180" s="92"/>
      <c r="L180" s="250"/>
      <c r="M180" s="325"/>
      <c r="N180" s="94" t="s">
        <v>458</v>
      </c>
      <c r="O180" s="135"/>
      <c r="P180" s="135"/>
    </row>
    <row r="181" spans="1:17" ht="75" customHeight="1">
      <c r="A181" s="338"/>
      <c r="B181" s="340" t="s">
        <v>452</v>
      </c>
      <c r="C181" s="74"/>
      <c r="D181" s="75"/>
      <c r="E181" s="118"/>
      <c r="F181" s="90"/>
      <c r="G181" s="94" t="s">
        <v>459</v>
      </c>
      <c r="H181" s="99">
        <v>2023</v>
      </c>
      <c r="I181" s="92"/>
      <c r="J181" s="80" t="s">
        <v>144</v>
      </c>
      <c r="K181" s="80">
        <v>1</v>
      </c>
      <c r="L181" s="82">
        <v>1000</v>
      </c>
      <c r="M181" s="234">
        <f t="shared" ref="M181:M188" si="57">L181*K181</f>
        <v>1000</v>
      </c>
      <c r="N181" s="234" t="s">
        <v>460</v>
      </c>
      <c r="O181" s="135"/>
      <c r="P181" s="135"/>
    </row>
    <row r="182" spans="1:17" ht="75" customHeight="1">
      <c r="A182" s="338"/>
      <c r="B182" s="340" t="s">
        <v>452</v>
      </c>
      <c r="C182" s="74"/>
      <c r="D182" s="75"/>
      <c r="E182" s="118"/>
      <c r="F182" s="90"/>
      <c r="G182" s="94" t="s">
        <v>459</v>
      </c>
      <c r="H182" s="99">
        <f t="shared" ref="H182:H188" si="58">H181+4</f>
        <v>2027</v>
      </c>
      <c r="I182" s="92"/>
      <c r="J182" s="92" t="s">
        <v>144</v>
      </c>
      <c r="K182" s="80">
        <v>1</v>
      </c>
      <c r="L182" s="82">
        <v>1000</v>
      </c>
      <c r="M182" s="234">
        <f t="shared" si="57"/>
        <v>1000</v>
      </c>
      <c r="N182" s="234" t="s">
        <v>460</v>
      </c>
      <c r="O182" s="135"/>
      <c r="P182" s="135"/>
    </row>
    <row r="183" spans="1:17" ht="75" customHeight="1">
      <c r="A183" s="338"/>
      <c r="B183" s="340" t="s">
        <v>452</v>
      </c>
      <c r="C183" s="74"/>
      <c r="D183" s="75"/>
      <c r="E183" s="118"/>
      <c r="F183" s="90"/>
      <c r="G183" s="94" t="s">
        <v>459</v>
      </c>
      <c r="H183" s="99">
        <f t="shared" si="58"/>
        <v>2031</v>
      </c>
      <c r="I183" s="92"/>
      <c r="J183" s="92" t="s">
        <v>144</v>
      </c>
      <c r="K183" s="80">
        <v>1</v>
      </c>
      <c r="L183" s="82">
        <v>1000</v>
      </c>
      <c r="M183" s="234">
        <f t="shared" si="57"/>
        <v>1000</v>
      </c>
      <c r="N183" s="234" t="s">
        <v>460</v>
      </c>
      <c r="O183" s="135"/>
      <c r="P183" s="135"/>
    </row>
    <row r="184" spans="1:17" ht="75" customHeight="1">
      <c r="A184" s="338"/>
      <c r="B184" s="340" t="s">
        <v>452</v>
      </c>
      <c r="C184" s="74"/>
      <c r="D184" s="75"/>
      <c r="E184" s="118"/>
      <c r="F184" s="90"/>
      <c r="G184" s="94" t="s">
        <v>459</v>
      </c>
      <c r="H184" s="99">
        <f t="shared" si="58"/>
        <v>2035</v>
      </c>
      <c r="I184" s="92"/>
      <c r="J184" s="92" t="s">
        <v>144</v>
      </c>
      <c r="K184" s="80">
        <v>1</v>
      </c>
      <c r="L184" s="82">
        <v>1000</v>
      </c>
      <c r="M184" s="234">
        <f t="shared" si="57"/>
        <v>1000</v>
      </c>
      <c r="N184" s="234" t="s">
        <v>460</v>
      </c>
      <c r="O184" s="135"/>
      <c r="P184" s="135"/>
    </row>
    <row r="185" spans="1:17" ht="75" customHeight="1">
      <c r="A185" s="338"/>
      <c r="B185" s="340" t="s">
        <v>452</v>
      </c>
      <c r="C185" s="74"/>
      <c r="D185" s="75"/>
      <c r="E185" s="118"/>
      <c r="F185" s="90"/>
      <c r="G185" s="94" t="s">
        <v>459</v>
      </c>
      <c r="H185" s="99">
        <f t="shared" si="58"/>
        <v>2039</v>
      </c>
      <c r="I185" s="92"/>
      <c r="J185" s="92" t="s">
        <v>144</v>
      </c>
      <c r="K185" s="80">
        <v>1</v>
      </c>
      <c r="L185" s="82">
        <v>1000</v>
      </c>
      <c r="M185" s="234">
        <f t="shared" si="57"/>
        <v>1000</v>
      </c>
      <c r="N185" s="234" t="s">
        <v>460</v>
      </c>
      <c r="O185" s="135"/>
      <c r="P185" s="135"/>
    </row>
    <row r="186" spans="1:17" ht="75" customHeight="1">
      <c r="A186" s="338"/>
      <c r="B186" s="340" t="s">
        <v>452</v>
      </c>
      <c r="C186" s="74"/>
      <c r="D186" s="75"/>
      <c r="E186" s="118"/>
      <c r="F186" s="90"/>
      <c r="G186" s="94" t="s">
        <v>459</v>
      </c>
      <c r="H186" s="99">
        <f t="shared" si="58"/>
        <v>2043</v>
      </c>
      <c r="I186" s="92"/>
      <c r="J186" s="80" t="s">
        <v>144</v>
      </c>
      <c r="K186" s="80">
        <v>1</v>
      </c>
      <c r="L186" s="82">
        <v>1000</v>
      </c>
      <c r="M186" s="234">
        <f t="shared" si="57"/>
        <v>1000</v>
      </c>
      <c r="N186" s="234" t="s">
        <v>460</v>
      </c>
      <c r="O186" s="135"/>
      <c r="P186" s="135"/>
    </row>
    <row r="187" spans="1:17" ht="75" customHeight="1">
      <c r="A187" s="338"/>
      <c r="B187" s="340" t="s">
        <v>452</v>
      </c>
      <c r="C187" s="74"/>
      <c r="D187" s="75"/>
      <c r="E187" s="118"/>
      <c r="F187" s="90"/>
      <c r="G187" s="94" t="s">
        <v>459</v>
      </c>
      <c r="H187" s="99">
        <f t="shared" si="58"/>
        <v>2047</v>
      </c>
      <c r="I187" s="92"/>
      <c r="J187" s="92" t="s">
        <v>144</v>
      </c>
      <c r="K187" s="80">
        <v>7</v>
      </c>
      <c r="L187" s="82">
        <v>1000</v>
      </c>
      <c r="M187" s="234">
        <f t="shared" si="57"/>
        <v>7000</v>
      </c>
      <c r="N187" s="234" t="s">
        <v>460</v>
      </c>
      <c r="O187" s="135"/>
      <c r="P187" s="135"/>
    </row>
    <row r="188" spans="1:17" ht="75" customHeight="1">
      <c r="A188" s="338"/>
      <c r="B188" s="340" t="s">
        <v>452</v>
      </c>
      <c r="C188" s="74"/>
      <c r="D188" s="75"/>
      <c r="E188" s="118"/>
      <c r="F188" s="90"/>
      <c r="G188" s="94" t="s">
        <v>459</v>
      </c>
      <c r="H188" s="99">
        <f t="shared" si="58"/>
        <v>2051</v>
      </c>
      <c r="I188" s="92"/>
      <c r="J188" s="92" t="s">
        <v>144</v>
      </c>
      <c r="K188" s="80">
        <v>1</v>
      </c>
      <c r="L188" s="82">
        <v>1000</v>
      </c>
      <c r="M188" s="234">
        <f t="shared" si="57"/>
        <v>1000</v>
      </c>
      <c r="N188" s="234" t="s">
        <v>460</v>
      </c>
      <c r="O188" s="135"/>
      <c r="P188" s="135"/>
    </row>
    <row r="189" spans="1:17" ht="15.75" customHeight="1">
      <c r="A189" s="115" t="s">
        <v>461</v>
      </c>
      <c r="B189" s="110" t="s">
        <v>462</v>
      </c>
      <c r="C189" s="111"/>
      <c r="D189" s="112"/>
      <c r="E189" s="124"/>
      <c r="F189" s="341"/>
      <c r="G189" s="341"/>
      <c r="H189" s="341"/>
      <c r="I189" s="125"/>
      <c r="J189" s="125"/>
      <c r="K189" s="342"/>
      <c r="L189" s="126"/>
      <c r="M189" s="84"/>
      <c r="N189" s="342"/>
      <c r="O189" s="135"/>
      <c r="P189" s="135"/>
    </row>
    <row r="190" spans="1:17" ht="15.75" customHeight="1">
      <c r="A190" s="332" t="s">
        <v>463</v>
      </c>
      <c r="B190" s="333" t="s">
        <v>464</v>
      </c>
      <c r="C190" s="111"/>
      <c r="D190" s="343"/>
      <c r="E190" s="99"/>
      <c r="F190" s="231"/>
      <c r="G190" s="231"/>
      <c r="H190" s="231"/>
      <c r="I190" s="80"/>
      <c r="J190" s="80"/>
      <c r="K190" s="91"/>
      <c r="L190" s="81"/>
      <c r="M190" s="127"/>
      <c r="N190" s="91"/>
      <c r="O190" s="135"/>
      <c r="P190" s="135"/>
    </row>
    <row r="191" spans="1:17" ht="15.75" customHeight="1">
      <c r="A191" s="344" t="s">
        <v>465</v>
      </c>
      <c r="B191" s="345" t="s">
        <v>466</v>
      </c>
      <c r="C191" s="346"/>
      <c r="D191" s="347"/>
      <c r="E191" s="345"/>
      <c r="F191" s="345"/>
      <c r="G191" s="345"/>
      <c r="H191" s="345"/>
      <c r="I191" s="345"/>
      <c r="J191" s="345"/>
      <c r="K191" s="345"/>
      <c r="L191" s="348"/>
      <c r="M191" s="348"/>
      <c r="N191" s="348"/>
      <c r="O191" s="197"/>
      <c r="P191" s="197"/>
      <c r="Q191" s="1"/>
    </row>
    <row r="192" spans="1:17" ht="29.25" customHeight="1">
      <c r="A192" s="332" t="s">
        <v>467</v>
      </c>
      <c r="B192" s="333" t="s">
        <v>468</v>
      </c>
      <c r="C192" s="111"/>
      <c r="D192" s="112"/>
      <c r="E192" s="231"/>
      <c r="F192" s="231"/>
      <c r="G192" s="231"/>
      <c r="H192" s="231"/>
      <c r="I192" s="80"/>
      <c r="J192" s="80"/>
      <c r="K192" s="91"/>
      <c r="L192" s="81"/>
      <c r="M192" s="101"/>
      <c r="N192" s="90"/>
      <c r="O192" s="197"/>
      <c r="P192" s="197"/>
      <c r="Q192" s="1"/>
    </row>
    <row r="193" spans="1:37" ht="33" customHeight="1">
      <c r="A193" s="332" t="s">
        <v>469</v>
      </c>
      <c r="B193" s="333" t="s">
        <v>470</v>
      </c>
      <c r="C193" s="111"/>
      <c r="D193" s="112"/>
      <c r="E193" s="231"/>
      <c r="F193" s="231"/>
      <c r="G193" s="231"/>
      <c r="H193" s="231"/>
      <c r="I193" s="80"/>
      <c r="J193" s="80"/>
      <c r="K193" s="91"/>
      <c r="L193" s="81"/>
      <c r="M193" s="101"/>
      <c r="N193" s="91"/>
      <c r="O193" s="197"/>
      <c r="P193" s="197"/>
      <c r="Q193" s="1"/>
    </row>
    <row r="194" spans="1:37" ht="30" customHeight="1">
      <c r="A194" s="115" t="s">
        <v>471</v>
      </c>
      <c r="B194" s="110" t="s">
        <v>472</v>
      </c>
      <c r="C194" s="111"/>
      <c r="D194" s="112"/>
      <c r="E194" s="231"/>
      <c r="F194" s="231"/>
      <c r="G194" s="231"/>
      <c r="H194" s="231"/>
      <c r="I194" s="80"/>
      <c r="J194" s="80"/>
      <c r="K194" s="91"/>
      <c r="L194" s="81"/>
      <c r="M194" s="101"/>
      <c r="N194" s="91"/>
      <c r="O194" s="197"/>
      <c r="P194" s="197"/>
      <c r="Q194" s="1"/>
    </row>
    <row r="195" spans="1:37" ht="31.5" customHeight="1">
      <c r="A195" s="115" t="s">
        <v>473</v>
      </c>
      <c r="B195" s="110" t="s">
        <v>474</v>
      </c>
      <c r="C195" s="111"/>
      <c r="D195" s="112"/>
      <c r="E195" s="349" t="s">
        <v>475</v>
      </c>
      <c r="F195" s="231"/>
      <c r="G195" s="231"/>
      <c r="H195" s="231"/>
      <c r="I195" s="80"/>
      <c r="J195" s="80"/>
      <c r="K195" s="91"/>
      <c r="L195" s="81"/>
      <c r="M195" s="101"/>
      <c r="N195" s="342" t="s">
        <v>475</v>
      </c>
      <c r="O195" s="197"/>
      <c r="P195" s="197"/>
      <c r="Q195" s="1"/>
    </row>
    <row r="196" spans="1:37" ht="31.5" customHeight="1">
      <c r="A196" s="115" t="s">
        <v>476</v>
      </c>
      <c r="B196" s="110" t="s">
        <v>477</v>
      </c>
      <c r="C196" s="111"/>
      <c r="D196" s="112"/>
      <c r="E196" s="349" t="s">
        <v>475</v>
      </c>
      <c r="F196" s="341"/>
      <c r="G196" s="341"/>
      <c r="H196" s="341"/>
      <c r="I196" s="125"/>
      <c r="J196" s="125"/>
      <c r="K196" s="342"/>
      <c r="L196" s="126"/>
      <c r="M196" s="127"/>
      <c r="N196" s="342" t="s">
        <v>475</v>
      </c>
      <c r="O196" s="197"/>
      <c r="P196" s="197"/>
      <c r="Q196" s="1"/>
    </row>
    <row r="197" spans="1:37" ht="22.5" customHeight="1">
      <c r="A197" s="332" t="s">
        <v>478</v>
      </c>
      <c r="B197" s="333" t="s">
        <v>479</v>
      </c>
      <c r="C197" s="111"/>
      <c r="D197" s="350"/>
      <c r="E197" s="341"/>
      <c r="F197" s="231"/>
      <c r="G197" s="231"/>
      <c r="H197" s="231"/>
      <c r="I197" s="80"/>
      <c r="J197" s="80"/>
      <c r="K197" s="91"/>
      <c r="L197" s="81"/>
      <c r="M197" s="101"/>
      <c r="N197" s="91"/>
      <c r="O197" s="197"/>
      <c r="P197" s="197"/>
      <c r="Q197" s="1"/>
    </row>
    <row r="198" spans="1:37" ht="15.75" customHeight="1">
      <c r="A198" s="344" t="s">
        <v>480</v>
      </c>
      <c r="B198" s="345" t="s">
        <v>481</v>
      </c>
      <c r="C198" s="346"/>
      <c r="D198" s="347"/>
      <c r="E198" s="345"/>
      <c r="F198" s="351"/>
      <c r="G198" s="351"/>
      <c r="H198" s="351"/>
      <c r="I198" s="351"/>
      <c r="J198" s="351"/>
      <c r="K198" s="351"/>
      <c r="L198" s="352"/>
      <c r="M198" s="353"/>
      <c r="N198" s="354"/>
      <c r="O198" s="197"/>
      <c r="P198" s="197"/>
      <c r="Q198" s="1"/>
    </row>
    <row r="199" spans="1:37" ht="34.5" customHeight="1">
      <c r="A199" s="332" t="s">
        <v>482</v>
      </c>
      <c r="B199" s="333" t="s">
        <v>483</v>
      </c>
      <c r="C199" s="111"/>
      <c r="D199" s="350"/>
      <c r="E199" s="99"/>
      <c r="F199" s="231"/>
      <c r="G199" s="231"/>
      <c r="H199" s="231"/>
      <c r="I199" s="80"/>
      <c r="J199" s="80"/>
      <c r="K199" s="91"/>
      <c r="L199" s="81"/>
      <c r="M199" s="101"/>
      <c r="N199" s="91"/>
      <c r="O199" s="197"/>
      <c r="P199" s="197"/>
      <c r="Q199" s="1"/>
    </row>
    <row r="200" spans="1:37" ht="24.75" customHeight="1">
      <c r="A200" s="344" t="s">
        <v>484</v>
      </c>
      <c r="B200" s="345" t="s">
        <v>485</v>
      </c>
      <c r="C200" s="346"/>
      <c r="D200" s="355"/>
      <c r="E200" s="356"/>
      <c r="F200" s="357"/>
      <c r="G200" s="357"/>
      <c r="H200" s="357"/>
      <c r="I200" s="357"/>
      <c r="J200" s="357"/>
      <c r="K200" s="357"/>
      <c r="L200" s="358"/>
      <c r="M200" s="359"/>
      <c r="N200" s="281"/>
      <c r="O200" s="197"/>
      <c r="P200" s="197"/>
      <c r="Q200" s="1"/>
    </row>
    <row r="201" spans="1:37" ht="30.75" customHeight="1">
      <c r="A201" s="344" t="s">
        <v>486</v>
      </c>
      <c r="B201" s="345" t="s">
        <v>487</v>
      </c>
      <c r="C201" s="346"/>
      <c r="D201" s="347"/>
      <c r="E201" s="345"/>
      <c r="F201" s="345"/>
      <c r="G201" s="360" t="s">
        <v>488</v>
      </c>
      <c r="H201" s="360"/>
      <c r="I201" s="360"/>
      <c r="J201" s="360"/>
      <c r="K201" s="360"/>
      <c r="L201" s="361"/>
      <c r="M201" s="362"/>
      <c r="N201" s="260"/>
      <c r="O201" s="197"/>
      <c r="P201" s="197"/>
    </row>
    <row r="202" spans="1:37" ht="36" customHeight="1">
      <c r="A202" s="332" t="s">
        <v>489</v>
      </c>
      <c r="B202" s="333" t="s">
        <v>490</v>
      </c>
      <c r="C202" s="111"/>
      <c r="D202" s="112"/>
      <c r="E202" s="76"/>
      <c r="F202" s="99" t="s">
        <v>158</v>
      </c>
      <c r="G202" s="341" t="s">
        <v>491</v>
      </c>
      <c r="H202" s="341"/>
      <c r="I202" s="125"/>
      <c r="J202" s="125"/>
      <c r="K202" s="342"/>
      <c r="L202" s="126"/>
      <c r="M202" s="127"/>
      <c r="N202" s="91" t="s">
        <v>492</v>
      </c>
      <c r="O202" s="197"/>
      <c r="P202" s="197"/>
    </row>
    <row r="203" spans="1:37" ht="48" customHeight="1">
      <c r="A203" s="336" t="s">
        <v>493</v>
      </c>
      <c r="B203" s="363" t="s">
        <v>494</v>
      </c>
      <c r="C203" s="88"/>
      <c r="D203" s="364"/>
      <c r="E203" s="76"/>
      <c r="F203" s="99" t="s">
        <v>158</v>
      </c>
      <c r="G203" s="110" t="s">
        <v>495</v>
      </c>
      <c r="H203" s="231"/>
      <c r="I203" s="80"/>
      <c r="J203" s="80" t="s">
        <v>144</v>
      </c>
      <c r="K203" s="91"/>
      <c r="L203" s="126">
        <v>5000</v>
      </c>
      <c r="M203" s="101">
        <f t="shared" ref="M203:M204" si="59">L203</f>
        <v>5000</v>
      </c>
      <c r="N203" s="221" t="s">
        <v>496</v>
      </c>
      <c r="O203" s="135"/>
      <c r="P203" s="135"/>
    </row>
    <row r="204" spans="1:37" ht="77.25" customHeight="1">
      <c r="A204" s="332" t="s">
        <v>497</v>
      </c>
      <c r="B204" s="333" t="s">
        <v>498</v>
      </c>
      <c r="C204" s="111"/>
      <c r="D204" s="350"/>
      <c r="E204" s="76"/>
      <c r="F204" s="99" t="s">
        <v>158</v>
      </c>
      <c r="G204" s="236" t="s">
        <v>499</v>
      </c>
      <c r="H204" s="231"/>
      <c r="I204" s="80"/>
      <c r="J204" s="80" t="s">
        <v>144</v>
      </c>
      <c r="K204" s="91"/>
      <c r="L204" s="126">
        <v>5000</v>
      </c>
      <c r="M204" s="101">
        <f t="shared" si="59"/>
        <v>5000</v>
      </c>
      <c r="N204" s="110" t="s">
        <v>500</v>
      </c>
      <c r="O204" s="135"/>
      <c r="P204" s="135"/>
      <c r="AH204" s="365"/>
      <c r="AI204" s="366"/>
      <c r="AJ204" s="366"/>
      <c r="AK204" s="366"/>
    </row>
    <row r="205" spans="1:37" ht="47.25" customHeight="1">
      <c r="A205" s="344" t="s">
        <v>501</v>
      </c>
      <c r="B205" s="367" t="s">
        <v>502</v>
      </c>
      <c r="C205" s="346"/>
      <c r="D205" s="347"/>
      <c r="E205" s="345"/>
      <c r="F205" s="345"/>
      <c r="G205" s="345"/>
      <c r="H205" s="345"/>
      <c r="I205" s="345"/>
      <c r="J205" s="345"/>
      <c r="K205" s="345"/>
      <c r="L205" s="348"/>
      <c r="M205" s="368"/>
      <c r="N205" s="257"/>
      <c r="O205" s="197"/>
      <c r="P205" s="197"/>
    </row>
    <row r="206" spans="1:37" ht="48.75" customHeight="1">
      <c r="A206" s="332" t="s">
        <v>503</v>
      </c>
      <c r="B206" s="333" t="s">
        <v>504</v>
      </c>
      <c r="C206" s="111"/>
      <c r="D206" s="112"/>
      <c r="E206" s="76"/>
      <c r="F206" s="99" t="s">
        <v>158</v>
      </c>
      <c r="G206" s="94" t="s">
        <v>505</v>
      </c>
      <c r="H206" s="231"/>
      <c r="I206" s="80"/>
      <c r="J206" s="80" t="s">
        <v>63</v>
      </c>
      <c r="K206" s="91"/>
      <c r="L206" s="81"/>
      <c r="M206" s="101">
        <v>15000</v>
      </c>
      <c r="N206" s="110" t="s">
        <v>506</v>
      </c>
      <c r="O206" s="197"/>
      <c r="P206" s="197"/>
    </row>
    <row r="207" spans="1:37" ht="33.75" customHeight="1">
      <c r="A207" s="344" t="s">
        <v>507</v>
      </c>
      <c r="B207" s="345" t="s">
        <v>508</v>
      </c>
      <c r="C207" s="346"/>
      <c r="D207" s="347"/>
      <c r="E207" s="345"/>
      <c r="F207" s="360"/>
      <c r="G207" s="360"/>
      <c r="H207" s="360"/>
      <c r="I207" s="360"/>
      <c r="J207" s="360"/>
      <c r="K207" s="360"/>
      <c r="L207" s="361"/>
      <c r="M207" s="369"/>
      <c r="N207" s="260"/>
      <c r="O207" s="197"/>
      <c r="P207" s="197"/>
    </row>
    <row r="208" spans="1:37" ht="93" customHeight="1">
      <c r="A208" s="332" t="s">
        <v>509</v>
      </c>
      <c r="B208" s="333" t="s">
        <v>510</v>
      </c>
      <c r="C208" s="111"/>
      <c r="D208" s="112"/>
      <c r="E208" s="370"/>
      <c r="F208" s="77" t="s">
        <v>158</v>
      </c>
      <c r="G208" s="94" t="s">
        <v>511</v>
      </c>
      <c r="H208" s="90"/>
      <c r="I208" s="92"/>
      <c r="J208" s="80"/>
      <c r="K208" s="92"/>
      <c r="L208" s="249"/>
      <c r="M208" s="234">
        <v>3000</v>
      </c>
      <c r="N208" s="234" t="s">
        <v>512</v>
      </c>
      <c r="O208" s="197"/>
      <c r="P208" s="135"/>
    </row>
    <row r="209" spans="1:37" ht="105" customHeight="1">
      <c r="A209" s="332"/>
      <c r="B209" s="333" t="s">
        <v>510</v>
      </c>
      <c r="C209" s="111"/>
      <c r="D209" s="112"/>
      <c r="E209" s="371"/>
      <c r="F209" s="77"/>
      <c r="G209" s="94" t="s">
        <v>513</v>
      </c>
      <c r="H209" s="77">
        <v>2044</v>
      </c>
      <c r="I209" s="92"/>
      <c r="J209" s="80"/>
      <c r="K209" s="80">
        <v>48</v>
      </c>
      <c r="L209" s="81">
        <f>550*1.25</f>
        <v>687.5</v>
      </c>
      <c r="M209" s="234">
        <f>L209*K209+(15000)</f>
        <v>48000</v>
      </c>
      <c r="N209" s="242" t="s">
        <v>514</v>
      </c>
      <c r="O209" s="197"/>
      <c r="P209" s="135"/>
    </row>
    <row r="210" spans="1:37" ht="58.5" customHeight="1">
      <c r="A210" s="332" t="s">
        <v>515</v>
      </c>
      <c r="B210" s="333" t="s">
        <v>516</v>
      </c>
      <c r="C210" s="111"/>
      <c r="D210" s="112"/>
      <c r="E210" s="76" t="s">
        <v>517</v>
      </c>
      <c r="F210" s="99" t="s">
        <v>158</v>
      </c>
      <c r="G210" s="236" t="s">
        <v>518</v>
      </c>
      <c r="H210" s="231"/>
      <c r="I210" s="80"/>
      <c r="J210" s="80"/>
      <c r="K210" s="91"/>
      <c r="L210" s="126"/>
      <c r="M210" s="101"/>
      <c r="N210" s="110" t="s">
        <v>519</v>
      </c>
      <c r="O210" s="197"/>
      <c r="P210" s="135"/>
    </row>
    <row r="211" spans="1:37" ht="124.5" customHeight="1">
      <c r="A211" s="372" t="s">
        <v>520</v>
      </c>
      <c r="B211" s="340" t="s">
        <v>521</v>
      </c>
      <c r="C211" s="74"/>
      <c r="D211" s="75"/>
      <c r="E211" s="118"/>
      <c r="F211" s="90"/>
      <c r="G211" s="221" t="s">
        <v>522</v>
      </c>
      <c r="H211" s="99">
        <v>2051</v>
      </c>
      <c r="I211" s="92"/>
      <c r="J211" s="80" t="s">
        <v>144</v>
      </c>
      <c r="K211" s="81">
        <v>1</v>
      </c>
      <c r="L211" s="81">
        <v>25000</v>
      </c>
      <c r="M211" s="234">
        <f>K211*L211</f>
        <v>25000</v>
      </c>
      <c r="N211" s="221" t="s">
        <v>523</v>
      </c>
      <c r="O211" s="197"/>
      <c r="P211" s="135"/>
    </row>
    <row r="212" spans="1:37" ht="63.75" customHeight="1">
      <c r="A212" s="332" t="s">
        <v>524</v>
      </c>
      <c r="B212" s="333" t="s">
        <v>525</v>
      </c>
      <c r="C212" s="111"/>
      <c r="D212" s="112"/>
      <c r="E212" s="245"/>
      <c r="F212" s="119"/>
      <c r="G212" s="78"/>
      <c r="H212" s="90"/>
      <c r="I212" s="99"/>
      <c r="J212" s="92"/>
      <c r="K212" s="90"/>
      <c r="L212" s="249"/>
      <c r="M212" s="101"/>
      <c r="N212" s="299"/>
      <c r="O212" s="197"/>
      <c r="P212" s="135"/>
      <c r="R212" s="154"/>
      <c r="S212" s="154"/>
      <c r="T212" s="154"/>
      <c r="U212" s="154"/>
      <c r="V212" s="154"/>
      <c r="W212" s="154"/>
      <c r="X212" s="154"/>
      <c r="Y212" s="154"/>
      <c r="Z212" s="154"/>
      <c r="AA212" s="154"/>
      <c r="AB212" s="154"/>
      <c r="AC212" s="154"/>
      <c r="AD212" s="154"/>
      <c r="AE212" s="154"/>
      <c r="AF212" s="154"/>
      <c r="AG212" s="154"/>
      <c r="AH212" s="154"/>
      <c r="AI212" s="154"/>
      <c r="AJ212" s="154"/>
      <c r="AK212" s="154"/>
    </row>
    <row r="213" spans="1:37" ht="73.5" customHeight="1">
      <c r="A213" s="372" t="s">
        <v>526</v>
      </c>
      <c r="B213" s="340" t="s">
        <v>527</v>
      </c>
      <c r="C213" s="74"/>
      <c r="D213" s="75"/>
      <c r="E213" s="90"/>
      <c r="F213" s="90"/>
      <c r="G213" s="221"/>
      <c r="H213" s="99"/>
      <c r="I213" s="92"/>
      <c r="J213" s="321"/>
      <c r="K213" s="221"/>
      <c r="L213" s="81"/>
      <c r="M213" s="101"/>
      <c r="N213" s="234"/>
      <c r="O213" s="197"/>
      <c r="P213" s="135"/>
      <c r="R213" s="154"/>
      <c r="S213" s="154"/>
      <c r="T213" s="154"/>
      <c r="U213" s="154"/>
      <c r="V213" s="154"/>
      <c r="W213" s="154"/>
      <c r="X213" s="154"/>
      <c r="Y213" s="154"/>
      <c r="Z213" s="154"/>
      <c r="AA213" s="154"/>
      <c r="AB213" s="154"/>
      <c r="AC213" s="154"/>
      <c r="AD213" s="154"/>
      <c r="AE213" s="154"/>
      <c r="AF213" s="154"/>
      <c r="AG213" s="154"/>
      <c r="AH213" s="154"/>
      <c r="AI213" s="154"/>
      <c r="AJ213" s="154"/>
      <c r="AK213" s="154"/>
    </row>
    <row r="214" spans="1:37" ht="58.5" customHeight="1">
      <c r="A214" s="332" t="s">
        <v>528</v>
      </c>
      <c r="B214" s="333" t="s">
        <v>529</v>
      </c>
      <c r="C214" s="111"/>
      <c r="D214" s="112"/>
      <c r="E214" s="373" t="s">
        <v>530</v>
      </c>
      <c r="F214" s="99" t="s">
        <v>158</v>
      </c>
      <c r="G214" s="91" t="s">
        <v>531</v>
      </c>
      <c r="H214" s="99"/>
      <c r="I214" s="80"/>
      <c r="J214" s="80"/>
      <c r="K214" s="91"/>
      <c r="L214" s="81"/>
      <c r="M214" s="101"/>
      <c r="N214" s="299" t="s">
        <v>532</v>
      </c>
      <c r="O214" s="197"/>
      <c r="P214" s="135"/>
    </row>
    <row r="215" spans="1:37" ht="66.75" customHeight="1">
      <c r="A215" s="332" t="s">
        <v>533</v>
      </c>
      <c r="B215" s="333" t="s">
        <v>534</v>
      </c>
      <c r="C215" s="111"/>
      <c r="D215" s="112"/>
      <c r="E215" s="76"/>
      <c r="F215" s="77" t="s">
        <v>158</v>
      </c>
      <c r="G215" s="87" t="s">
        <v>535</v>
      </c>
      <c r="H215" s="341"/>
      <c r="I215" s="125"/>
      <c r="J215" s="125" t="s">
        <v>144</v>
      </c>
      <c r="K215" s="342">
        <v>1</v>
      </c>
      <c r="L215" s="126">
        <v>1500</v>
      </c>
      <c r="M215" s="101">
        <f>L215*K215</f>
        <v>1500</v>
      </c>
      <c r="N215" s="349" t="s">
        <v>536</v>
      </c>
      <c r="O215" s="197"/>
      <c r="P215" s="135"/>
    </row>
    <row r="216" spans="1:37" ht="54.75" customHeight="1">
      <c r="A216" s="332" t="s">
        <v>537</v>
      </c>
      <c r="B216" s="333" t="s">
        <v>538</v>
      </c>
      <c r="C216" s="111"/>
      <c r="D216" s="350"/>
      <c r="E216" s="222"/>
      <c r="F216" s="77" t="s">
        <v>158</v>
      </c>
      <c r="G216" s="110" t="s">
        <v>539</v>
      </c>
      <c r="H216" s="99"/>
      <c r="I216" s="80"/>
      <c r="J216" s="80" t="s">
        <v>144</v>
      </c>
      <c r="K216" s="91"/>
      <c r="L216" s="81"/>
      <c r="M216" s="101">
        <v>3000</v>
      </c>
      <c r="N216" s="221" t="s">
        <v>540</v>
      </c>
      <c r="O216" s="197"/>
      <c r="P216" s="135"/>
    </row>
    <row r="217" spans="1:37" ht="60.75" customHeight="1">
      <c r="A217" s="332"/>
      <c r="B217" s="333" t="s">
        <v>538</v>
      </c>
      <c r="C217" s="111"/>
      <c r="D217" s="350"/>
      <c r="E217" s="222"/>
      <c r="F217" s="77"/>
      <c r="G217" s="374" t="s">
        <v>541</v>
      </c>
      <c r="H217" s="99">
        <v>2036</v>
      </c>
      <c r="I217" s="92"/>
      <c r="J217" s="80" t="s">
        <v>144</v>
      </c>
      <c r="K217" s="80">
        <v>1</v>
      </c>
      <c r="L217" s="249"/>
      <c r="M217" s="82">
        <v>25000</v>
      </c>
      <c r="N217" s="221" t="s">
        <v>542</v>
      </c>
      <c r="O217" s="197"/>
      <c r="P217" s="135"/>
    </row>
    <row r="218" spans="1:37" ht="61.5" customHeight="1">
      <c r="A218" s="332" t="s">
        <v>543</v>
      </c>
      <c r="B218" s="333" t="s">
        <v>544</v>
      </c>
      <c r="C218" s="111"/>
      <c r="D218" s="350"/>
      <c r="E218" s="77"/>
      <c r="F218" s="77"/>
      <c r="G218" s="110"/>
      <c r="H218" s="99"/>
      <c r="I218" s="80"/>
      <c r="J218" s="80"/>
      <c r="K218" s="91"/>
      <c r="L218" s="81"/>
      <c r="M218" s="101"/>
      <c r="N218" s="110"/>
      <c r="O218" s="135"/>
      <c r="P218" s="135"/>
    </row>
    <row r="219" spans="1:37" ht="51" customHeight="1">
      <c r="A219" s="252" t="s">
        <v>545</v>
      </c>
      <c r="B219" s="345" t="s">
        <v>546</v>
      </c>
      <c r="C219" s="346"/>
      <c r="D219" s="347"/>
      <c r="E219" s="375"/>
      <c r="F219" s="99" t="s">
        <v>158</v>
      </c>
      <c r="G219" s="221" t="s">
        <v>547</v>
      </c>
      <c r="H219" s="90"/>
      <c r="I219" s="90"/>
      <c r="J219" s="91" t="s">
        <v>144</v>
      </c>
      <c r="K219" s="91">
        <v>1</v>
      </c>
      <c r="L219" s="91">
        <v>2000</v>
      </c>
      <c r="M219" s="101">
        <f>L219*K219</f>
        <v>2000</v>
      </c>
      <c r="N219" s="234" t="s">
        <v>548</v>
      </c>
      <c r="O219" s="152"/>
      <c r="P219" s="152"/>
      <c r="Q219" s="154"/>
      <c r="R219" s="154"/>
      <c r="S219" s="154"/>
      <c r="T219" s="154"/>
      <c r="U219" s="154"/>
      <c r="V219" s="154"/>
      <c r="W219" s="154"/>
      <c r="X219" s="154"/>
      <c r="Y219" s="154"/>
      <c r="Z219" s="154"/>
      <c r="AA219" s="154"/>
      <c r="AB219" s="154"/>
      <c r="AC219" s="154"/>
      <c r="AD219" s="154"/>
      <c r="AE219" s="154"/>
      <c r="AF219" s="154"/>
      <c r="AG219" s="154"/>
      <c r="AH219" s="154"/>
      <c r="AI219" s="154"/>
      <c r="AJ219" s="154"/>
      <c r="AK219" s="154"/>
    </row>
    <row r="220" spans="1:37" ht="58.5" customHeight="1">
      <c r="A220" s="252"/>
      <c r="B220" s="345" t="s">
        <v>546</v>
      </c>
      <c r="C220" s="346"/>
      <c r="D220" s="347"/>
      <c r="E220" s="76"/>
      <c r="F220" s="99" t="s">
        <v>158</v>
      </c>
      <c r="G220" s="221" t="s">
        <v>549</v>
      </c>
      <c r="H220" s="99"/>
      <c r="I220" s="99"/>
      <c r="J220" s="91" t="s">
        <v>144</v>
      </c>
      <c r="K220" s="91">
        <v>1</v>
      </c>
      <c r="L220" s="249"/>
      <c r="M220" s="101">
        <f>2700*1.25</f>
        <v>3375</v>
      </c>
      <c r="N220" s="234" t="s">
        <v>550</v>
      </c>
      <c r="O220" s="152"/>
      <c r="P220" s="152"/>
      <c r="Q220" s="154"/>
      <c r="R220" s="154"/>
      <c r="S220" s="154"/>
      <c r="T220" s="154"/>
      <c r="U220" s="154"/>
      <c r="V220" s="154"/>
      <c r="W220" s="154"/>
      <c r="X220" s="154"/>
      <c r="Y220" s="154"/>
      <c r="Z220" s="154"/>
      <c r="AA220" s="154"/>
      <c r="AB220" s="154"/>
      <c r="AC220" s="154"/>
      <c r="AD220" s="154"/>
      <c r="AE220" s="154"/>
      <c r="AF220" s="154"/>
      <c r="AG220" s="154"/>
      <c r="AH220" s="154"/>
      <c r="AI220" s="154"/>
      <c r="AJ220" s="154"/>
      <c r="AK220" s="154"/>
    </row>
    <row r="221" spans="1:37" ht="124.5" customHeight="1">
      <c r="A221" s="252"/>
      <c r="B221" s="345" t="s">
        <v>546</v>
      </c>
      <c r="C221" s="346"/>
      <c r="D221" s="347"/>
      <c r="E221" s="76"/>
      <c r="F221" s="106"/>
      <c r="G221" s="376" t="s">
        <v>551</v>
      </c>
      <c r="H221" s="77">
        <f>2036</f>
        <v>2036</v>
      </c>
      <c r="I221" s="90"/>
      <c r="J221" s="377" t="s">
        <v>110</v>
      </c>
      <c r="K221" s="377">
        <v>16</v>
      </c>
      <c r="L221" s="81">
        <f>550*1.25</f>
        <v>687.5</v>
      </c>
      <c r="M221" s="378">
        <f>L221*K221+(8000*1.25)</f>
        <v>21000</v>
      </c>
      <c r="N221" s="378" t="s">
        <v>552</v>
      </c>
      <c r="O221" s="152"/>
      <c r="P221" s="152"/>
      <c r="Q221" s="154"/>
      <c r="R221" s="154"/>
      <c r="S221" s="154"/>
      <c r="T221" s="154"/>
      <c r="U221" s="154"/>
      <c r="V221" s="154"/>
      <c r="W221" s="154"/>
      <c r="X221" s="154"/>
      <c r="Y221" s="154"/>
      <c r="Z221" s="154"/>
      <c r="AA221" s="154"/>
      <c r="AB221" s="154"/>
      <c r="AC221" s="154"/>
      <c r="AD221" s="154"/>
      <c r="AE221" s="154"/>
      <c r="AF221" s="154"/>
      <c r="AG221" s="154"/>
      <c r="AH221" s="154"/>
      <c r="AI221" s="154"/>
      <c r="AJ221" s="154"/>
      <c r="AK221" s="154"/>
    </row>
    <row r="222" spans="1:37" ht="30.75" customHeight="1">
      <c r="A222" s="344" t="s">
        <v>553</v>
      </c>
      <c r="B222" s="345" t="s">
        <v>554</v>
      </c>
      <c r="C222" s="346"/>
      <c r="D222" s="347"/>
      <c r="E222" s="345"/>
      <c r="F222" s="360"/>
      <c r="G222" s="360"/>
      <c r="H222" s="360"/>
      <c r="I222" s="360"/>
      <c r="J222" s="360"/>
      <c r="K222" s="360"/>
      <c r="L222" s="361"/>
      <c r="M222" s="369"/>
      <c r="N222" s="260"/>
      <c r="O222" s="197"/>
      <c r="P222" s="197"/>
    </row>
    <row r="223" spans="1:37" ht="31.5" customHeight="1">
      <c r="A223" s="332" t="s">
        <v>555</v>
      </c>
      <c r="B223" s="333" t="s">
        <v>556</v>
      </c>
      <c r="C223" s="111"/>
      <c r="D223" s="112"/>
      <c r="E223" s="99"/>
      <c r="F223" s="231"/>
      <c r="G223" s="231"/>
      <c r="H223" s="231"/>
      <c r="I223" s="80"/>
      <c r="J223" s="80"/>
      <c r="K223" s="91"/>
      <c r="L223" s="81"/>
      <c r="M223" s="101"/>
      <c r="N223" s="91"/>
      <c r="O223" s="197"/>
      <c r="P223" s="197"/>
    </row>
    <row r="224" spans="1:37" ht="33" customHeight="1">
      <c r="A224" s="115" t="s">
        <v>557</v>
      </c>
      <c r="B224" s="110" t="s">
        <v>558</v>
      </c>
      <c r="C224" s="111"/>
      <c r="D224" s="112"/>
      <c r="E224" s="222"/>
      <c r="F224" s="77" t="s">
        <v>158</v>
      </c>
      <c r="G224" s="87" t="s">
        <v>559</v>
      </c>
      <c r="H224" s="341"/>
      <c r="I224" s="125"/>
      <c r="J224" s="125"/>
      <c r="K224" s="342"/>
      <c r="L224" s="126"/>
      <c r="M224" s="127"/>
      <c r="N224" s="349" t="s">
        <v>560</v>
      </c>
      <c r="O224" s="197"/>
      <c r="P224" s="197"/>
    </row>
    <row r="225" spans="1:16" ht="27.75" customHeight="1">
      <c r="A225" s="115" t="s">
        <v>561</v>
      </c>
      <c r="B225" s="110" t="s">
        <v>562</v>
      </c>
      <c r="C225" s="111"/>
      <c r="D225" s="343"/>
      <c r="E225" s="91" t="s">
        <v>563</v>
      </c>
      <c r="F225" s="245"/>
      <c r="G225" s="231"/>
      <c r="H225" s="231"/>
      <c r="I225" s="80"/>
      <c r="J225" s="80"/>
      <c r="K225" s="91"/>
      <c r="L225" s="81"/>
      <c r="M225" s="101"/>
      <c r="N225" s="91" t="s">
        <v>563</v>
      </c>
      <c r="O225" s="197"/>
      <c r="P225" s="197"/>
    </row>
    <row r="226" spans="1:16" ht="21" customHeight="1">
      <c r="A226" s="344" t="s">
        <v>564</v>
      </c>
      <c r="B226" s="345" t="s">
        <v>565</v>
      </c>
      <c r="C226" s="346"/>
      <c r="D226" s="347"/>
      <c r="E226" s="345"/>
      <c r="F226" s="345"/>
      <c r="G226" s="345"/>
      <c r="H226" s="345"/>
      <c r="I226" s="345"/>
      <c r="J226" s="345"/>
      <c r="K226" s="345"/>
      <c r="L226" s="348"/>
      <c r="M226" s="379"/>
      <c r="N226" s="257"/>
      <c r="O226" s="197"/>
      <c r="P226" s="197"/>
    </row>
    <row r="227" spans="1:16" ht="120.75" customHeight="1">
      <c r="A227" s="332" t="s">
        <v>566</v>
      </c>
      <c r="B227" s="380" t="s">
        <v>567</v>
      </c>
      <c r="C227" s="111"/>
      <c r="D227" s="350"/>
      <c r="E227" s="99"/>
      <c r="F227" s="99"/>
      <c r="G227" s="110" t="s">
        <v>568</v>
      </c>
      <c r="H227" s="99"/>
      <c r="I227" s="80"/>
      <c r="J227" s="80"/>
      <c r="K227" s="91"/>
      <c r="L227" s="81"/>
      <c r="M227" s="101"/>
      <c r="N227" s="110" t="s">
        <v>569</v>
      </c>
      <c r="O227" s="135"/>
      <c r="P227" s="135"/>
    </row>
    <row r="228" spans="1:16" ht="150.75" customHeight="1">
      <c r="A228" s="332"/>
      <c r="B228" s="380" t="s">
        <v>567</v>
      </c>
      <c r="C228" s="111"/>
      <c r="D228" s="350"/>
      <c r="E228" s="76"/>
      <c r="F228" s="381" t="s">
        <v>158</v>
      </c>
      <c r="G228" s="231" t="s">
        <v>570</v>
      </c>
      <c r="H228" s="231"/>
      <c r="I228" s="80"/>
      <c r="J228" s="80" t="s">
        <v>144</v>
      </c>
      <c r="K228" s="91">
        <v>4</v>
      </c>
      <c r="L228" s="81">
        <v>5000</v>
      </c>
      <c r="M228" s="101">
        <f t="shared" ref="M228:M229" si="60">L228*K228</f>
        <v>20000</v>
      </c>
      <c r="N228" s="110" t="s">
        <v>571</v>
      </c>
      <c r="O228" s="197"/>
      <c r="P228" s="197"/>
    </row>
    <row r="229" spans="1:16" ht="174.75" customHeight="1">
      <c r="A229" s="332"/>
      <c r="B229" s="380" t="s">
        <v>567</v>
      </c>
      <c r="C229" s="111"/>
      <c r="D229" s="350"/>
      <c r="E229" s="76"/>
      <c r="F229" s="381">
        <v>2022</v>
      </c>
      <c r="G229" s="110" t="s">
        <v>572</v>
      </c>
      <c r="H229" s="99"/>
      <c r="I229" s="91"/>
      <c r="J229" s="80" t="s">
        <v>144</v>
      </c>
      <c r="K229" s="91">
        <f>30+30</f>
        <v>60</v>
      </c>
      <c r="L229" s="81">
        <v>800</v>
      </c>
      <c r="M229" s="101">
        <f t="shared" si="60"/>
        <v>48000</v>
      </c>
      <c r="N229" s="110" t="s">
        <v>573</v>
      </c>
      <c r="O229" s="197"/>
      <c r="P229" s="197"/>
    </row>
    <row r="230" spans="1:16" ht="15.75" customHeight="1">
      <c r="A230" s="344" t="s">
        <v>574</v>
      </c>
      <c r="B230" s="345" t="s">
        <v>575</v>
      </c>
      <c r="C230" s="346"/>
      <c r="D230" s="355"/>
      <c r="E230" s="345"/>
      <c r="F230" s="382"/>
      <c r="G230" s="345"/>
      <c r="H230" s="345"/>
      <c r="I230" s="345"/>
      <c r="J230" s="345"/>
      <c r="K230" s="345"/>
      <c r="L230" s="348"/>
      <c r="M230" s="379"/>
      <c r="N230" s="257"/>
      <c r="O230" s="135"/>
      <c r="P230" s="135"/>
    </row>
    <row r="231" spans="1:16" ht="65.25" customHeight="1">
      <c r="A231" s="332" t="s">
        <v>576</v>
      </c>
      <c r="B231" s="333" t="s">
        <v>577</v>
      </c>
      <c r="C231" s="111"/>
      <c r="D231" s="112"/>
      <c r="E231" s="76" t="s">
        <v>578</v>
      </c>
      <c r="F231" s="231"/>
      <c r="G231" s="231" t="s">
        <v>579</v>
      </c>
      <c r="H231" s="99">
        <f>2019+20</f>
        <v>2039</v>
      </c>
      <c r="I231" s="80"/>
      <c r="J231" s="80" t="s">
        <v>144</v>
      </c>
      <c r="K231" s="91">
        <v>3</v>
      </c>
      <c r="L231" s="81">
        <v>50000</v>
      </c>
      <c r="M231" s="101">
        <f>L231*K231</f>
        <v>150000</v>
      </c>
      <c r="N231" s="299" t="s">
        <v>580</v>
      </c>
      <c r="O231" s="197"/>
      <c r="P231" s="197"/>
    </row>
    <row r="232" spans="1:16" ht="15.75" customHeight="1">
      <c r="A232" s="383"/>
      <c r="C232" s="135"/>
      <c r="D232" s="135"/>
      <c r="E232" s="135"/>
      <c r="F232" s="135"/>
      <c r="G232" s="135"/>
      <c r="H232" s="135"/>
      <c r="I232" s="135"/>
      <c r="J232" s="135"/>
      <c r="K232" s="135"/>
      <c r="L232" s="384"/>
      <c r="M232" s="385"/>
      <c r="N232" s="135"/>
    </row>
    <row r="233" spans="1:16" ht="15.75" customHeight="1">
      <c r="A233" s="383"/>
      <c r="E233" s="135"/>
      <c r="F233" s="386"/>
      <c r="G233" s="386"/>
      <c r="H233" s="386"/>
      <c r="I233" s="387"/>
      <c r="J233" s="388"/>
      <c r="K233" s="388"/>
      <c r="L233" s="389"/>
      <c r="M233" s="390"/>
      <c r="N233" s="391"/>
    </row>
    <row r="234" spans="1:16" ht="15.75" customHeight="1">
      <c r="A234" s="383"/>
      <c r="E234" s="135"/>
      <c r="F234" s="135"/>
      <c r="G234" s="135"/>
      <c r="H234" s="388"/>
      <c r="I234" s="388"/>
      <c r="J234" s="388"/>
      <c r="K234" s="135"/>
      <c r="L234" s="384"/>
      <c r="M234" s="385"/>
      <c r="N234" s="135" t="s">
        <v>77</v>
      </c>
    </row>
    <row r="235" spans="1:16" ht="15.75" customHeight="1">
      <c r="A235" s="383"/>
      <c r="E235" s="392"/>
      <c r="F235" s="135"/>
      <c r="G235" s="135"/>
      <c r="H235" s="388"/>
      <c r="I235" s="135"/>
      <c r="J235" s="135"/>
      <c r="K235" s="135"/>
      <c r="L235" s="384"/>
      <c r="M235" s="385"/>
      <c r="N235" s="135"/>
    </row>
    <row r="236" spans="1:16" ht="15.75" customHeight="1">
      <c r="A236" s="383"/>
      <c r="E236" s="392"/>
      <c r="F236" s="135"/>
      <c r="G236" s="135"/>
      <c r="H236" s="393" t="s">
        <v>581</v>
      </c>
      <c r="I236" s="135"/>
      <c r="J236" s="183"/>
      <c r="K236" s="394" t="s">
        <v>582</v>
      </c>
      <c r="L236" s="384"/>
      <c r="M236" s="395"/>
      <c r="N236" s="393" t="s">
        <v>583</v>
      </c>
    </row>
    <row r="237" spans="1:16" ht="15.75" customHeight="1">
      <c r="A237" s="383"/>
      <c r="E237" s="392"/>
      <c r="F237" s="396"/>
      <c r="G237" s="183"/>
      <c r="H237" s="397"/>
      <c r="I237" s="135"/>
      <c r="J237" s="394" t="s">
        <v>584</v>
      </c>
      <c r="K237" s="398">
        <v>1620</v>
      </c>
      <c r="L237" s="384"/>
      <c r="M237" s="395"/>
      <c r="N237" s="391"/>
    </row>
    <row r="238" spans="1:16" ht="15.75" customHeight="1">
      <c r="A238" s="383"/>
      <c r="E238" s="392"/>
      <c r="F238" s="399"/>
      <c r="G238" s="400"/>
      <c r="H238" s="401"/>
      <c r="I238" s="135"/>
      <c r="J238" s="183"/>
      <c r="K238" s="183"/>
      <c r="L238" s="384"/>
      <c r="M238" s="395"/>
      <c r="N238" s="402">
        <f ca="1">(K239+K243+K246+K249+K252+K255+K258+K261+K264+K267+K270+K273+K276+K279+K282+K285+K288+K291+K294+K297+K300+K303+K307+K310+K313+K316+K319+K322+K325+K328+K331+K334+K337)/30</f>
        <v>430.7978806584361</v>
      </c>
    </row>
    <row r="239" spans="1:16" ht="15.75" customHeight="1">
      <c r="A239" s="383"/>
      <c r="E239" s="392"/>
      <c r="F239" s="399"/>
      <c r="G239" s="400"/>
      <c r="H239" s="401"/>
      <c r="I239" s="135"/>
      <c r="J239" s="183"/>
      <c r="K239" s="403">
        <f>H239+H238</f>
        <v>0</v>
      </c>
      <c r="L239" s="384"/>
      <c r="M239" s="395"/>
      <c r="N239" s="404"/>
    </row>
    <row r="240" spans="1:16" ht="15.75" customHeight="1">
      <c r="A240" s="383"/>
      <c r="E240" s="392"/>
      <c r="F240" s="396"/>
      <c r="G240" s="183"/>
      <c r="H240" s="401"/>
      <c r="I240" s="135"/>
      <c r="J240" s="183"/>
      <c r="K240" s="401"/>
      <c r="L240" s="384"/>
      <c r="M240" s="395"/>
      <c r="N240" s="135"/>
    </row>
    <row r="241" spans="1:14" ht="15.75" customHeight="1">
      <c r="A241" s="383"/>
      <c r="E241" s="392"/>
      <c r="F241" s="399"/>
      <c r="G241" s="400"/>
      <c r="H241" s="401"/>
      <c r="I241" s="135"/>
      <c r="J241" s="183"/>
      <c r="K241" s="183"/>
      <c r="L241" s="384"/>
      <c r="M241" s="395"/>
      <c r="N241" s="405" t="s">
        <v>585</v>
      </c>
    </row>
    <row r="242" spans="1:14" ht="15.75" customHeight="1">
      <c r="A242" s="383"/>
      <c r="E242" s="392"/>
      <c r="F242" s="399"/>
      <c r="G242" s="400"/>
      <c r="H242" s="401"/>
      <c r="I242" s="135"/>
      <c r="J242" s="183"/>
      <c r="K242" s="183"/>
      <c r="L242" s="384"/>
      <c r="M242" s="395"/>
      <c r="N242" s="402">
        <f ca="1">N245/30</f>
        <v>697892.56666666665</v>
      </c>
    </row>
    <row r="243" spans="1:14" ht="15.75" customHeight="1">
      <c r="A243" s="383"/>
      <c r="E243" s="392"/>
      <c r="F243" s="399"/>
      <c r="G243" s="400"/>
      <c r="H243" s="401"/>
      <c r="I243" s="135"/>
      <c r="J243" s="183"/>
      <c r="K243" s="406">
        <f>(H241+H242+H243)/K237</f>
        <v>0</v>
      </c>
      <c r="L243" s="384"/>
      <c r="M243" s="395"/>
      <c r="N243" s="395"/>
    </row>
    <row r="244" spans="1:14" ht="15.75" customHeight="1">
      <c r="A244" s="383"/>
      <c r="E244" s="392"/>
      <c r="F244" s="407"/>
      <c r="G244" s="394"/>
      <c r="H244" s="401"/>
      <c r="I244" s="135"/>
      <c r="J244" s="183"/>
      <c r="K244" s="408"/>
      <c r="L244" s="384"/>
      <c r="M244" s="395"/>
      <c r="N244" s="394" t="s">
        <v>586</v>
      </c>
    </row>
    <row r="245" spans="1:14" ht="15.75" customHeight="1">
      <c r="A245" s="383"/>
      <c r="E245" s="392"/>
      <c r="F245" s="392"/>
      <c r="G245" s="392"/>
      <c r="H245" s="392"/>
      <c r="I245" s="135"/>
      <c r="J245" s="183"/>
      <c r="K245" s="408"/>
      <c r="L245" s="384"/>
      <c r="M245" s="409" t="s">
        <v>77</v>
      </c>
      <c r="N245" s="410">
        <f ca="1">H245+H246+H247+H248+H249+H251+H252+H254+H255+H257+H258+H260+H261+H263+H264+H266+H267+H269+H270+H272+H273+H275++H276+H278+H279+H281+H282+H284+H285+H287+H288+H290+H291+H293+H294+H296+H297+H299+H300+H302+H303+H306+H307+H309+H310+H312+H313+H315+H316+H318+H319+H321+H322+H324+H325+H327+H328+H330+H331+H333+H334+H336+H337</f>
        <v>20936777</v>
      </c>
    </row>
    <row r="246" spans="1:14" ht="15.75" customHeight="1">
      <c r="A246" s="383"/>
      <c r="E246" s="392"/>
      <c r="F246" s="392"/>
      <c r="G246" s="392"/>
      <c r="H246" s="392"/>
      <c r="I246" s="135"/>
      <c r="J246" s="183"/>
      <c r="K246" s="406">
        <f>(H245+H246+H247)/K237</f>
        <v>0</v>
      </c>
      <c r="L246" s="384"/>
      <c r="M246" s="385" t="s">
        <v>77</v>
      </c>
      <c r="N246" s="135"/>
    </row>
    <row r="247" spans="1:14" ht="15.75" customHeight="1">
      <c r="A247" s="383"/>
      <c r="E247" s="392"/>
      <c r="F247" s="392"/>
      <c r="G247" s="392"/>
      <c r="H247" s="392"/>
      <c r="I247" s="135"/>
      <c r="J247" s="183"/>
      <c r="K247" s="408"/>
      <c r="L247" s="384"/>
      <c r="M247" s="395"/>
      <c r="N247" s="395"/>
    </row>
    <row r="248" spans="1:14" ht="15.75" customHeight="1">
      <c r="A248" s="383"/>
      <c r="E248" s="392"/>
      <c r="F248" s="411" t="s">
        <v>587</v>
      </c>
      <c r="G248" s="412"/>
      <c r="H248" s="403">
        <f>SUMIF(F12:F231,"2022",M12:M231)+SUMIF(F12:F231,"Löpande årligen",M12:M231)</f>
        <v>141577</v>
      </c>
      <c r="I248" s="135"/>
      <c r="J248" s="183"/>
      <c r="K248" s="408"/>
      <c r="L248" s="384"/>
      <c r="M248" s="395"/>
      <c r="N248" s="135"/>
    </row>
    <row r="249" spans="1:14" ht="15.75" customHeight="1">
      <c r="A249" s="383"/>
      <c r="E249" s="392"/>
      <c r="F249" s="411" t="s">
        <v>588</v>
      </c>
      <c r="G249" s="412"/>
      <c r="H249" s="403">
        <f>SUMIF(H12:H231,"2022",M12:M231)</f>
        <v>0</v>
      </c>
      <c r="I249" s="135"/>
      <c r="J249" s="183"/>
      <c r="K249" s="406">
        <f>(H248+H249)/K237</f>
        <v>87.39320987654321</v>
      </c>
      <c r="L249" s="384"/>
      <c r="M249" s="395"/>
      <c r="N249" s="135"/>
    </row>
    <row r="250" spans="1:14" ht="15.75" customHeight="1">
      <c r="A250" s="383"/>
      <c r="E250" s="392"/>
      <c r="F250" s="407"/>
      <c r="G250" s="394"/>
      <c r="H250" s="401"/>
      <c r="I250" s="135"/>
      <c r="J250" s="183"/>
      <c r="K250" s="408"/>
      <c r="L250" s="384"/>
      <c r="M250" s="395"/>
      <c r="N250" s="135"/>
    </row>
    <row r="251" spans="1:14" ht="15.75" customHeight="1">
      <c r="A251" s="383"/>
      <c r="E251" s="392"/>
      <c r="F251" s="411" t="s">
        <v>589</v>
      </c>
      <c r="G251" s="412"/>
      <c r="H251" s="413">
        <f ca="1">SUMIF(F12:H231,"2023",M12:M231)+SUMIF(F12:F231,"Löpande årligen",M12:M231)</f>
        <v>314873</v>
      </c>
      <c r="I251" s="135"/>
      <c r="J251" s="183"/>
      <c r="K251" s="408"/>
      <c r="L251" s="384"/>
      <c r="M251" s="395"/>
      <c r="N251" s="135"/>
    </row>
    <row r="252" spans="1:14" ht="15.75" customHeight="1">
      <c r="A252" s="383"/>
      <c r="E252" s="392"/>
      <c r="F252" s="411" t="s">
        <v>590</v>
      </c>
      <c r="G252" s="412"/>
      <c r="H252" s="403">
        <f>SUMIF(H12:H231,"2023",M12:M231)</f>
        <v>1000</v>
      </c>
      <c r="I252" s="135"/>
      <c r="J252" s="183"/>
      <c r="K252" s="406">
        <f ca="1">(H251+H252)/K237</f>
        <v>194.98333333333332</v>
      </c>
      <c r="L252" s="384"/>
      <c r="M252" s="395"/>
      <c r="N252" s="135"/>
    </row>
    <row r="253" spans="1:14" ht="15.75" customHeight="1">
      <c r="A253" s="383"/>
      <c r="E253" s="392"/>
      <c r="F253" s="407"/>
      <c r="G253" s="394"/>
      <c r="H253" s="401"/>
      <c r="I253" s="135"/>
      <c r="J253" s="183"/>
      <c r="K253" s="408"/>
      <c r="L253" s="384"/>
      <c r="M253" s="395"/>
      <c r="N253" s="135"/>
    </row>
    <row r="254" spans="1:14" ht="15.75" customHeight="1">
      <c r="A254" s="383"/>
      <c r="E254" s="392"/>
      <c r="F254" s="411" t="s">
        <v>591</v>
      </c>
      <c r="G254" s="412"/>
      <c r="H254" s="403">
        <f>SUMIF(F12:F231,"2024",M12:M231)+SUMIF(F12:F231,"Löpande årligen",M12:M231)</f>
        <v>101128</v>
      </c>
      <c r="I254" s="135"/>
      <c r="J254" s="183"/>
      <c r="K254" s="408"/>
      <c r="L254" s="384"/>
      <c r="M254" s="395"/>
      <c r="N254" s="135"/>
    </row>
    <row r="255" spans="1:14" ht="15.75" customHeight="1">
      <c r="A255" s="383"/>
      <c r="E255" s="392"/>
      <c r="F255" s="411" t="s">
        <v>592</v>
      </c>
      <c r="G255" s="412"/>
      <c r="H255" s="403">
        <f>SUMIF(H12:H231,"2024",M12:M231)</f>
        <v>0</v>
      </c>
      <c r="I255" s="135"/>
      <c r="J255" s="183"/>
      <c r="K255" s="406">
        <f>(H254+H255)/K237</f>
        <v>62.424691358024688</v>
      </c>
      <c r="L255" s="384"/>
      <c r="M255" s="395"/>
      <c r="N255" s="135"/>
    </row>
    <row r="256" spans="1:14" ht="15.75" customHeight="1">
      <c r="A256" s="383"/>
      <c r="E256" s="392"/>
      <c r="F256" s="407"/>
      <c r="G256" s="394"/>
      <c r="H256" s="401"/>
      <c r="I256" s="135"/>
      <c r="J256" s="183"/>
      <c r="K256" s="408"/>
      <c r="L256" s="384"/>
      <c r="M256" s="395"/>
      <c r="N256" s="135"/>
    </row>
    <row r="257" spans="1:14" ht="15.75" customHeight="1">
      <c r="A257" s="383"/>
      <c r="E257" s="392"/>
      <c r="F257" s="411" t="s">
        <v>593</v>
      </c>
      <c r="G257" s="412"/>
      <c r="H257" s="403">
        <f>SUMIF(F12:F231,"2025",M12:M231)+SUMIF(F12:F231,"Löpande årligen",M12:M231)</f>
        <v>213573</v>
      </c>
      <c r="I257" s="135"/>
      <c r="J257" s="183"/>
      <c r="K257" s="408"/>
      <c r="L257" s="384"/>
      <c r="M257" s="395"/>
      <c r="N257" s="135"/>
    </row>
    <row r="258" spans="1:14" ht="15.75" customHeight="1">
      <c r="A258" s="383"/>
      <c r="E258" s="392"/>
      <c r="F258" s="411" t="s">
        <v>594</v>
      </c>
      <c r="G258" s="412"/>
      <c r="H258" s="403">
        <f>SUMIF(H12:H231,"2025",M12:M231)</f>
        <v>60000</v>
      </c>
      <c r="I258" s="135"/>
      <c r="J258" s="183"/>
      <c r="K258" s="406">
        <f>(H257+H258)/K237</f>
        <v>168.87222222222223</v>
      </c>
      <c r="L258" s="384"/>
      <c r="M258" s="395"/>
      <c r="N258" s="135"/>
    </row>
    <row r="259" spans="1:14" ht="15.75" customHeight="1">
      <c r="A259" s="383"/>
      <c r="E259" s="392"/>
      <c r="F259" s="407"/>
      <c r="G259" s="394"/>
      <c r="H259" s="401"/>
      <c r="I259" s="135"/>
      <c r="J259" s="183"/>
      <c r="K259" s="408"/>
      <c r="L259" s="384"/>
      <c r="M259" s="395"/>
      <c r="N259" s="135"/>
    </row>
    <row r="260" spans="1:14" ht="15.75" customHeight="1">
      <c r="A260" s="383"/>
      <c r="E260" s="414"/>
      <c r="F260" s="415" t="s">
        <v>595</v>
      </c>
      <c r="G260" s="416"/>
      <c r="H260" s="417">
        <f>SUMIF(F12:F231,"2026",M12:M231)+SUMIF(F12:F231,"Löpande årligen",M12:M231)</f>
        <v>112073</v>
      </c>
      <c r="I260" s="84"/>
      <c r="J260" s="90"/>
      <c r="K260" s="325"/>
      <c r="L260" s="418"/>
      <c r="M260" s="419"/>
      <c r="N260" s="84"/>
    </row>
    <row r="261" spans="1:14" ht="15.75" customHeight="1">
      <c r="A261" s="383"/>
      <c r="E261" s="414"/>
      <c r="F261" s="415" t="s">
        <v>596</v>
      </c>
      <c r="G261" s="416"/>
      <c r="H261" s="417">
        <f>SUMIF(H12:H231,"2026",M12:M231)</f>
        <v>0</v>
      </c>
      <c r="I261" s="84"/>
      <c r="J261" s="90"/>
      <c r="K261" s="420">
        <f>(H260+H261)/K237</f>
        <v>69.180864197530866</v>
      </c>
      <c r="L261" s="418"/>
      <c r="M261" s="419"/>
      <c r="N261" s="84"/>
    </row>
    <row r="262" spans="1:14" ht="15.75" customHeight="1">
      <c r="A262" s="383"/>
      <c r="E262" s="414"/>
      <c r="F262" s="421"/>
      <c r="G262" s="422"/>
      <c r="H262" s="250"/>
      <c r="I262" s="84"/>
      <c r="J262" s="90"/>
      <c r="K262" s="325"/>
      <c r="L262" s="418"/>
      <c r="M262" s="419"/>
      <c r="N262" s="84"/>
    </row>
    <row r="263" spans="1:14" ht="15.75" customHeight="1">
      <c r="A263" s="383"/>
      <c r="E263" s="414"/>
      <c r="F263" s="415" t="s">
        <v>597</v>
      </c>
      <c r="G263" s="416"/>
      <c r="H263" s="417">
        <f>SUMIF(F12:F231,"2027",M12:M231)+SUMIF(F12:F231,"Löpande årligen",M12:M231)</f>
        <v>468641</v>
      </c>
      <c r="I263" s="84"/>
      <c r="J263" s="90"/>
      <c r="K263" s="325"/>
      <c r="L263" s="418"/>
      <c r="M263" s="419"/>
      <c r="N263" s="84"/>
    </row>
    <row r="264" spans="1:14" ht="15.75" customHeight="1">
      <c r="A264" s="383"/>
      <c r="E264" s="414"/>
      <c r="F264" s="415" t="s">
        <v>598</v>
      </c>
      <c r="G264" s="416"/>
      <c r="H264" s="417">
        <f>SUMIF(H12:H231,"2027",M12:M231)</f>
        <v>550500</v>
      </c>
      <c r="I264" s="84"/>
      <c r="J264" s="90"/>
      <c r="K264" s="420">
        <f>(H263+H264)/K237</f>
        <v>629.09938271604938</v>
      </c>
      <c r="L264" s="418"/>
      <c r="M264" s="419"/>
      <c r="N264" s="84"/>
    </row>
    <row r="265" spans="1:14" ht="15.75" customHeight="1">
      <c r="A265" s="383"/>
      <c r="E265" s="414"/>
      <c r="F265" s="421"/>
      <c r="G265" s="422"/>
      <c r="H265" s="250"/>
      <c r="I265" s="84"/>
      <c r="J265" s="90"/>
      <c r="K265" s="325"/>
      <c r="L265" s="418"/>
      <c r="M265" s="419"/>
      <c r="N265" s="84"/>
    </row>
    <row r="266" spans="1:14" ht="15.75" customHeight="1">
      <c r="A266" s="383"/>
      <c r="E266" s="414"/>
      <c r="F266" s="415" t="s">
        <v>599</v>
      </c>
      <c r="G266" s="416"/>
      <c r="H266" s="417">
        <f>SUMIF(F12:F231,"2028",M12:M231)+SUMIF(F12:F231,"Löpande årligen",M12:M231)</f>
        <v>457573</v>
      </c>
      <c r="I266" s="84"/>
      <c r="J266" s="90"/>
      <c r="K266" s="325"/>
      <c r="L266" s="418"/>
      <c r="M266" s="419"/>
      <c r="N266" s="84"/>
    </row>
    <row r="267" spans="1:14" ht="15.75" customHeight="1">
      <c r="A267" s="383"/>
      <c r="E267" s="414"/>
      <c r="F267" s="415" t="s">
        <v>600</v>
      </c>
      <c r="G267" s="416"/>
      <c r="H267" s="417">
        <f>SUMIF(H12:H231,"2028",M12:M231)</f>
        <v>0</v>
      </c>
      <c r="I267" s="84"/>
      <c r="J267" s="90"/>
      <c r="K267" s="420">
        <f>(H266+H267)/K237</f>
        <v>282.45246913580246</v>
      </c>
      <c r="L267" s="418"/>
      <c r="M267" s="419"/>
      <c r="N267" s="84"/>
    </row>
    <row r="268" spans="1:14" ht="15.75" customHeight="1">
      <c r="A268" s="383"/>
      <c r="E268" s="414"/>
      <c r="F268" s="421"/>
      <c r="G268" s="422"/>
      <c r="H268" s="250"/>
      <c r="I268" s="84"/>
      <c r="J268" s="90"/>
      <c r="K268" s="325"/>
      <c r="L268" s="418"/>
      <c r="M268" s="419"/>
      <c r="N268" s="84"/>
    </row>
    <row r="269" spans="1:14" ht="15.75" customHeight="1">
      <c r="A269" s="383"/>
      <c r="E269" s="414"/>
      <c r="F269" s="415" t="s">
        <v>601</v>
      </c>
      <c r="G269" s="416"/>
      <c r="H269" s="417">
        <f>SUMIF(F12:F231,"2029",M12:M231)+SUMIF(F12:F231,"Löpande årligen",M12:M231)</f>
        <v>166198</v>
      </c>
      <c r="I269" s="84"/>
      <c r="J269" s="90"/>
      <c r="K269" s="325"/>
      <c r="L269" s="418"/>
      <c r="M269" s="419"/>
      <c r="N269" s="84"/>
    </row>
    <row r="270" spans="1:14" ht="15.75" customHeight="1">
      <c r="A270" s="383"/>
      <c r="E270" s="414"/>
      <c r="F270" s="415" t="s">
        <v>602</v>
      </c>
      <c r="G270" s="416"/>
      <c r="H270" s="417">
        <f>SUMIF(H12:H231,"2029",M12:M231)</f>
        <v>14500</v>
      </c>
      <c r="I270" s="84"/>
      <c r="J270" s="90"/>
      <c r="K270" s="420">
        <f>(H269+H270)/K237</f>
        <v>111.54197530864198</v>
      </c>
      <c r="L270" s="418"/>
      <c r="M270" s="419"/>
      <c r="N270" s="84"/>
    </row>
    <row r="271" spans="1:14" ht="15.75" customHeight="1">
      <c r="A271" s="383"/>
      <c r="E271" s="414"/>
      <c r="F271" s="421"/>
      <c r="G271" s="422"/>
      <c r="H271" s="250"/>
      <c r="I271" s="84"/>
      <c r="J271" s="90"/>
      <c r="K271" s="325"/>
      <c r="L271" s="418"/>
      <c r="M271" s="419"/>
      <c r="N271" s="84"/>
    </row>
    <row r="272" spans="1:14" ht="15.75" customHeight="1">
      <c r="A272" s="423"/>
      <c r="E272" s="414"/>
      <c r="F272" s="415" t="s">
        <v>603</v>
      </c>
      <c r="G272" s="416"/>
      <c r="H272" s="417">
        <f>SUMIF(F12:F231,"2030",M12:M231)+SUMIF(F12:F231,"Löpande årligen",M12:M231)</f>
        <v>635585</v>
      </c>
      <c r="I272" s="84"/>
      <c r="J272" s="90"/>
      <c r="K272" s="325"/>
      <c r="L272" s="418"/>
      <c r="M272" s="419"/>
      <c r="N272" s="84"/>
    </row>
    <row r="273" spans="1:14" ht="15.75" customHeight="1">
      <c r="A273" s="423"/>
      <c r="E273" s="414"/>
      <c r="F273" s="415" t="s">
        <v>604</v>
      </c>
      <c r="G273" s="416"/>
      <c r="H273" s="417">
        <f>SUMIF(H12:H231,"2030",M12:M231)</f>
        <v>1981525</v>
      </c>
      <c r="I273" s="84"/>
      <c r="J273" s="90"/>
      <c r="K273" s="420">
        <f>(H272+H273)/K237</f>
        <v>1615.5</v>
      </c>
      <c r="L273" s="418"/>
      <c r="M273" s="419"/>
      <c r="N273" s="84"/>
    </row>
    <row r="274" spans="1:14" ht="15.75" customHeight="1">
      <c r="A274" s="423"/>
      <c r="E274" s="414"/>
      <c r="F274" s="424"/>
      <c r="G274" s="422"/>
      <c r="H274" s="250"/>
      <c r="I274" s="84"/>
      <c r="J274" s="90"/>
      <c r="K274" s="325"/>
      <c r="L274" s="418"/>
      <c r="M274" s="419"/>
      <c r="N274" s="84"/>
    </row>
    <row r="275" spans="1:14" ht="15.75" customHeight="1">
      <c r="A275" s="423"/>
      <c r="E275" s="414"/>
      <c r="F275" s="411" t="s">
        <v>605</v>
      </c>
      <c r="G275" s="416"/>
      <c r="H275" s="403">
        <f>SUMIF(F12:F231,"2031",M12:M231)+SUMIF(F12:F231,"Löpande årligen",M12:M231)</f>
        <v>221873</v>
      </c>
      <c r="I275" s="84"/>
      <c r="J275" s="90"/>
      <c r="K275" s="325"/>
      <c r="L275" s="418"/>
      <c r="M275" s="419"/>
      <c r="N275" s="84"/>
    </row>
    <row r="276" spans="1:14" ht="15.75" customHeight="1">
      <c r="A276" s="423"/>
      <c r="E276" s="414"/>
      <c r="F276" s="411" t="s">
        <v>606</v>
      </c>
      <c r="G276" s="416"/>
      <c r="H276" s="403">
        <f>SUMIF(H12:H231,"2031",M12:M231)</f>
        <v>46000</v>
      </c>
      <c r="I276" s="84"/>
      <c r="J276" s="90"/>
      <c r="K276" s="406">
        <f>(H275+H276)/K237</f>
        <v>165.3537037037037</v>
      </c>
      <c r="L276" s="418"/>
      <c r="M276" s="419"/>
      <c r="N276" s="84"/>
    </row>
    <row r="277" spans="1:14" ht="15.75" customHeight="1">
      <c r="A277" s="423"/>
      <c r="E277" s="414"/>
      <c r="F277" s="424"/>
      <c r="G277" s="425"/>
      <c r="H277" s="250"/>
      <c r="I277" s="84"/>
      <c r="J277" s="90"/>
      <c r="K277" s="325"/>
      <c r="L277" s="418"/>
      <c r="M277" s="419"/>
      <c r="N277" s="84"/>
    </row>
    <row r="278" spans="1:14" ht="15.75" customHeight="1">
      <c r="A278" s="423"/>
      <c r="E278" s="414"/>
      <c r="F278" s="411" t="s">
        <v>607</v>
      </c>
      <c r="G278" s="416"/>
      <c r="H278" s="403">
        <f>SUMIF(F12:F231,"2032",M12:M231)+SUMIF(F12:F231,"Löpande årligen",M12:M231)</f>
        <v>129077</v>
      </c>
      <c r="I278" s="84"/>
      <c r="J278" s="90"/>
      <c r="K278" s="325"/>
      <c r="L278" s="418"/>
      <c r="M278" s="419"/>
      <c r="N278" s="84"/>
    </row>
    <row r="279" spans="1:14" ht="15.75" customHeight="1">
      <c r="A279" s="423"/>
      <c r="E279" s="414"/>
      <c r="F279" s="411" t="s">
        <v>608</v>
      </c>
      <c r="G279" s="416"/>
      <c r="H279" s="403">
        <f>SUMIF(H12:H231,"2032",M12:M231)</f>
        <v>57000</v>
      </c>
      <c r="I279" s="84"/>
      <c r="J279" s="90"/>
      <c r="K279" s="406">
        <f>(H278+H279)/K237</f>
        <v>114.86234567901235</v>
      </c>
      <c r="L279" s="84"/>
      <c r="M279" s="419"/>
      <c r="N279" s="84"/>
    </row>
    <row r="280" spans="1:14" ht="15.75" customHeight="1">
      <c r="A280" s="423"/>
      <c r="E280" s="414"/>
      <c r="F280" s="424"/>
      <c r="G280" s="425"/>
      <c r="H280" s="250"/>
      <c r="I280" s="84"/>
      <c r="J280" s="90"/>
      <c r="K280" s="325"/>
      <c r="L280" s="84"/>
      <c r="M280" s="419"/>
      <c r="N280" s="84"/>
    </row>
    <row r="281" spans="1:14" ht="15.75" customHeight="1">
      <c r="A281" s="423"/>
      <c r="E281" s="414"/>
      <c r="F281" s="411" t="s">
        <v>609</v>
      </c>
      <c r="G281" s="416"/>
      <c r="H281" s="413">
        <f>SUMIF(F12:F231,"2033",M12:M231)+SUMIF(F12:F231,"Löpande årligen",M12:M231)</f>
        <v>121573</v>
      </c>
      <c r="I281" s="84"/>
      <c r="J281" s="90"/>
      <c r="K281" s="325"/>
      <c r="L281" s="84"/>
      <c r="M281" s="419"/>
      <c r="N281" s="84"/>
    </row>
    <row r="282" spans="1:14" ht="15.75" customHeight="1">
      <c r="A282" s="423"/>
      <c r="E282" s="414"/>
      <c r="F282" s="411" t="s">
        <v>610</v>
      </c>
      <c r="G282" s="416"/>
      <c r="H282" s="403">
        <f>SUMIF(H12:H231,"2033",M12:M231)</f>
        <v>0</v>
      </c>
      <c r="I282" s="84"/>
      <c r="J282" s="90"/>
      <c r="K282" s="406">
        <f>(H281+H282)/K237</f>
        <v>75.045061728395055</v>
      </c>
      <c r="L282" s="84"/>
      <c r="M282" s="419"/>
      <c r="N282" s="84"/>
    </row>
    <row r="283" spans="1:14" ht="15.75" customHeight="1">
      <c r="A283" s="423"/>
      <c r="E283" s="414"/>
      <c r="F283" s="424"/>
      <c r="G283" s="425"/>
      <c r="H283" s="250"/>
      <c r="I283" s="84"/>
      <c r="J283" s="90"/>
      <c r="K283" s="325"/>
      <c r="L283" s="84"/>
      <c r="M283" s="419"/>
      <c r="N283" s="84"/>
    </row>
    <row r="284" spans="1:14" ht="15.75" customHeight="1">
      <c r="A284" s="423"/>
      <c r="E284" s="414"/>
      <c r="F284" s="411" t="s">
        <v>611</v>
      </c>
      <c r="G284" s="416"/>
      <c r="H284" s="413">
        <f>SUMIF(F12:F231,"2034",M12:M231)+SUMIF(F12:F231,"Löpande årligen",M12:M231)</f>
        <v>88073</v>
      </c>
      <c r="I284" s="84"/>
      <c r="J284" s="90"/>
      <c r="K284" s="325"/>
      <c r="L284" s="84"/>
      <c r="M284" s="419"/>
      <c r="N284" s="84"/>
    </row>
    <row r="285" spans="1:14" ht="15.75" customHeight="1">
      <c r="A285" s="423"/>
      <c r="E285" s="414"/>
      <c r="F285" s="411" t="s">
        <v>612</v>
      </c>
      <c r="G285" s="416"/>
      <c r="H285" s="403">
        <f>SUMIF(H12:H231,"2034",M12:M231)</f>
        <v>220000</v>
      </c>
      <c r="I285" s="84"/>
      <c r="J285" s="90"/>
      <c r="K285" s="406">
        <f>(H284+H285)/K237</f>
        <v>190.16851851851851</v>
      </c>
      <c r="L285" s="84"/>
      <c r="M285" s="419"/>
      <c r="N285" s="84"/>
    </row>
    <row r="286" spans="1:14" ht="15.75" customHeight="1">
      <c r="A286" s="423"/>
      <c r="E286" s="414"/>
      <c r="F286" s="424"/>
      <c r="G286" s="425"/>
      <c r="H286" s="250"/>
      <c r="I286" s="84"/>
      <c r="J286" s="90"/>
      <c r="K286" s="325"/>
      <c r="L286" s="84"/>
      <c r="M286" s="419"/>
      <c r="N286" s="84"/>
    </row>
    <row r="287" spans="1:14" ht="15.75" customHeight="1">
      <c r="A287" s="423"/>
      <c r="E287" s="414"/>
      <c r="F287" s="411" t="s">
        <v>613</v>
      </c>
      <c r="G287" s="416"/>
      <c r="H287" s="413">
        <f>SUMIF(F12:F231,"2035",M12:M231)+SUMIF(F12:F231,"Löpande årligen",M12:M231)</f>
        <v>188073</v>
      </c>
      <c r="I287" s="84"/>
      <c r="J287" s="90"/>
      <c r="K287" s="325"/>
      <c r="L287" s="84"/>
      <c r="M287" s="419"/>
      <c r="N287" s="84"/>
    </row>
    <row r="288" spans="1:14" ht="15.75" customHeight="1">
      <c r="A288" s="423"/>
      <c r="E288" s="414"/>
      <c r="F288" s="411" t="s">
        <v>614</v>
      </c>
      <c r="G288" s="416"/>
      <c r="H288" s="403">
        <f>SUMIF(H12:H231,"2035",M12:M231)</f>
        <v>641512</v>
      </c>
      <c r="I288" s="84"/>
      <c r="J288" s="90"/>
      <c r="K288" s="406">
        <f>(H287+H288)/K237</f>
        <v>512.08950617283949</v>
      </c>
      <c r="L288" s="84"/>
      <c r="M288" s="419"/>
      <c r="N288" s="84"/>
    </row>
    <row r="289" spans="1:14" ht="15.75" customHeight="1">
      <c r="A289" s="423"/>
      <c r="E289" s="414"/>
      <c r="F289" s="424"/>
      <c r="G289" s="425"/>
      <c r="H289" s="250"/>
      <c r="I289" s="84"/>
      <c r="J289" s="90"/>
      <c r="K289" s="406"/>
      <c r="L289" s="84"/>
      <c r="M289" s="419"/>
      <c r="N289" s="84"/>
    </row>
    <row r="290" spans="1:14" ht="15.75" customHeight="1">
      <c r="A290" s="423"/>
      <c r="E290" s="414"/>
      <c r="F290" s="411" t="s">
        <v>615</v>
      </c>
      <c r="G290" s="416"/>
      <c r="H290" s="413">
        <f>SUMIF(F12:F231,"2036",M12:M231)+SUMIF(F12:F231,"Löpande årligen",M12:M231)</f>
        <v>101128</v>
      </c>
      <c r="I290" s="84"/>
      <c r="J290" s="90"/>
      <c r="K290" s="406"/>
      <c r="L290" s="84"/>
      <c r="M290" s="419"/>
      <c r="N290" s="84"/>
    </row>
    <row r="291" spans="1:14" ht="15.75" customHeight="1">
      <c r="A291" s="423"/>
      <c r="E291" s="414"/>
      <c r="F291" s="411" t="s">
        <v>616</v>
      </c>
      <c r="G291" s="416"/>
      <c r="H291" s="403">
        <f>SUMIF(H12:H231,"2036",M12:M231)</f>
        <v>146500</v>
      </c>
      <c r="I291" s="84"/>
      <c r="J291" s="90"/>
      <c r="K291" s="406">
        <f>(H290+H291)/K237</f>
        <v>152.85679012345679</v>
      </c>
      <c r="L291" s="84"/>
      <c r="M291" s="419"/>
      <c r="N291" s="84"/>
    </row>
    <row r="292" spans="1:14" ht="15.75" customHeight="1">
      <c r="A292" s="423"/>
      <c r="E292" s="414"/>
      <c r="F292" s="424"/>
      <c r="G292" s="425"/>
      <c r="H292" s="250"/>
      <c r="I292" s="84"/>
      <c r="J292" s="90"/>
      <c r="K292" s="325"/>
      <c r="L292" s="84"/>
      <c r="M292" s="419"/>
      <c r="N292" s="84"/>
    </row>
    <row r="293" spans="1:14" ht="15.75" customHeight="1">
      <c r="A293" s="423"/>
      <c r="E293" s="414"/>
      <c r="F293" s="411" t="s">
        <v>617</v>
      </c>
      <c r="G293" s="416"/>
      <c r="H293" s="413">
        <f>SUMIF(F12:F231,"2037",M12:M231)+SUMIF(F12:F231,"Löpande årligen",M12:M231)</f>
        <v>199577</v>
      </c>
      <c r="I293" s="84"/>
      <c r="J293" s="90"/>
      <c r="K293" s="325"/>
      <c r="L293" s="84"/>
      <c r="M293" s="419"/>
      <c r="N293" s="84"/>
    </row>
    <row r="294" spans="1:14" ht="15.75" customHeight="1">
      <c r="A294" s="423"/>
      <c r="E294" s="414"/>
      <c r="F294" s="411" t="s">
        <v>618</v>
      </c>
      <c r="G294" s="416"/>
      <c r="H294" s="403">
        <f>SUMIF(H12:H231,"2037",M12:M231)</f>
        <v>15000</v>
      </c>
      <c r="I294" s="84"/>
      <c r="J294" s="90"/>
      <c r="K294" s="406">
        <f>(H293+H294)/K237</f>
        <v>132.45493827160493</v>
      </c>
      <c r="L294" s="84"/>
      <c r="M294" s="419"/>
      <c r="N294" s="84"/>
    </row>
    <row r="295" spans="1:14" ht="15.75" customHeight="1">
      <c r="A295" s="423"/>
      <c r="E295" s="414"/>
      <c r="F295" s="305"/>
      <c r="G295" s="90"/>
      <c r="H295" s="250"/>
      <c r="I295" s="84"/>
      <c r="J295" s="90"/>
      <c r="K295" s="325"/>
      <c r="L295" s="84"/>
      <c r="M295" s="419"/>
      <c r="N295" s="84"/>
    </row>
    <row r="296" spans="1:14" ht="15.75" customHeight="1">
      <c r="A296" s="423"/>
      <c r="E296" s="414"/>
      <c r="F296" s="411" t="s">
        <v>619</v>
      </c>
      <c r="G296" s="426"/>
      <c r="H296" s="413">
        <f>SUMIF(F12:F231,"2038",M12:M231)+SUMIF(F12:F231,"Löpande årligen",M12:M231)</f>
        <v>88073</v>
      </c>
      <c r="I296" s="84"/>
      <c r="J296" s="90"/>
      <c r="K296" s="325"/>
      <c r="L296" s="84"/>
      <c r="M296" s="419"/>
      <c r="N296" s="84"/>
    </row>
    <row r="297" spans="1:14" ht="15.75" customHeight="1">
      <c r="A297" s="423"/>
      <c r="E297" s="414"/>
      <c r="F297" s="411" t="s">
        <v>620</v>
      </c>
      <c r="G297" s="426"/>
      <c r="H297" s="403">
        <f>SUMIF(H12:H231,"2038",M12:M231)</f>
        <v>1140000</v>
      </c>
      <c r="I297" s="84"/>
      <c r="J297" s="90"/>
      <c r="K297" s="406">
        <f>(H296+H297)/K237</f>
        <v>758.06975308641972</v>
      </c>
      <c r="L297" s="84"/>
      <c r="M297" s="419"/>
      <c r="N297" s="84"/>
    </row>
    <row r="298" spans="1:14" ht="15.75" customHeight="1">
      <c r="A298" s="423"/>
      <c r="E298" s="414"/>
      <c r="F298" s="305"/>
      <c r="G298" s="90"/>
      <c r="H298" s="250"/>
      <c r="I298" s="84"/>
      <c r="J298" s="90"/>
      <c r="K298" s="325"/>
      <c r="L298" s="84"/>
      <c r="M298" s="419"/>
      <c r="N298" s="84"/>
    </row>
    <row r="299" spans="1:14" ht="15.75" customHeight="1">
      <c r="A299" s="423"/>
      <c r="E299" s="414"/>
      <c r="F299" s="411" t="s">
        <v>621</v>
      </c>
      <c r="G299" s="426"/>
      <c r="H299" s="413">
        <f>SUMIF(F12:F231,"2039",M12:M231)+SUMIF(F12:F231,"Löpande årligen",M12:M231)</f>
        <v>207698</v>
      </c>
      <c r="I299" s="84"/>
      <c r="J299" s="90"/>
      <c r="K299" s="325"/>
      <c r="L299" s="84"/>
      <c r="M299" s="419"/>
      <c r="N299" s="84"/>
    </row>
    <row r="300" spans="1:14" ht="15.75" customHeight="1">
      <c r="A300" s="423"/>
      <c r="E300" s="414"/>
      <c r="F300" s="411" t="s">
        <v>622</v>
      </c>
      <c r="G300" s="426"/>
      <c r="H300" s="403">
        <f>SUMIF(H12:H231,"2039",M12:M231)</f>
        <v>151000</v>
      </c>
      <c r="I300" s="84"/>
      <c r="J300" s="90"/>
      <c r="K300" s="406">
        <f>(H299+H300)/K237</f>
        <v>221.41851851851851</v>
      </c>
      <c r="L300" s="84"/>
      <c r="M300" s="419"/>
      <c r="N300" s="84"/>
    </row>
    <row r="301" spans="1:14" ht="15.75" customHeight="1">
      <c r="A301" s="423"/>
      <c r="E301" s="414"/>
      <c r="F301" s="305"/>
      <c r="G301" s="90"/>
      <c r="H301" s="250"/>
      <c r="I301" s="84"/>
      <c r="J301" s="90"/>
      <c r="K301" s="325"/>
      <c r="L301" s="84"/>
      <c r="M301" s="419"/>
      <c r="N301" s="84"/>
    </row>
    <row r="302" spans="1:14" ht="15.75" customHeight="1">
      <c r="A302" s="423"/>
      <c r="E302" s="414"/>
      <c r="F302" s="411" t="s">
        <v>623</v>
      </c>
      <c r="G302" s="426"/>
      <c r="H302" s="403">
        <f>SUMIF(F12:F231,"2040",M12:M231)+SUMIF(F12:F231,"Löpande årligen",M12:M231)</f>
        <v>753073</v>
      </c>
      <c r="I302" s="84"/>
      <c r="J302" s="90"/>
      <c r="K302" s="325"/>
      <c r="L302" s="84"/>
      <c r="M302" s="419"/>
      <c r="N302" s="84"/>
    </row>
    <row r="303" spans="1:14" ht="15.75" customHeight="1">
      <c r="A303" s="423"/>
      <c r="E303" s="414"/>
      <c r="F303" s="411" t="s">
        <v>624</v>
      </c>
      <c r="G303" s="426"/>
      <c r="H303" s="403">
        <f>SUMIF(H12:H231,"2040",M12:M231)</f>
        <v>2026000</v>
      </c>
      <c r="I303" s="84"/>
      <c r="J303" s="90"/>
      <c r="K303" s="406">
        <f>(H302+H303)/K237</f>
        <v>1715.4771604938271</v>
      </c>
      <c r="L303" s="84"/>
      <c r="M303" s="419"/>
      <c r="N303" s="84"/>
    </row>
    <row r="304" spans="1:14" ht="15.75" customHeight="1">
      <c r="A304" s="423"/>
      <c r="E304" s="414"/>
      <c r="F304" s="84"/>
      <c r="G304" s="84"/>
      <c r="H304" s="427"/>
      <c r="I304" s="84"/>
      <c r="J304" s="90"/>
      <c r="K304" s="325"/>
      <c r="L304" s="84"/>
      <c r="M304" s="419"/>
      <c r="N304" s="84"/>
    </row>
    <row r="305" spans="1:14" ht="15.75" customHeight="1">
      <c r="A305" s="423"/>
      <c r="E305" s="414"/>
      <c r="F305" s="305"/>
      <c r="G305" s="90"/>
      <c r="H305" s="250"/>
      <c r="I305" s="84"/>
      <c r="J305" s="90"/>
      <c r="K305" s="325"/>
      <c r="L305" s="84"/>
      <c r="M305" s="419"/>
      <c r="N305" s="84"/>
    </row>
    <row r="306" spans="1:14" ht="15.75" customHeight="1">
      <c r="A306" s="423"/>
      <c r="E306" s="414"/>
      <c r="F306" s="411" t="s">
        <v>625</v>
      </c>
      <c r="G306" s="426"/>
      <c r="H306" s="403">
        <f>SUMIF(F12:F231,"2041",M12:M231)+SUMIF(F12:F231,"Löpande årligen",M12:M231)</f>
        <v>121573</v>
      </c>
      <c r="I306" s="84"/>
      <c r="J306" s="90"/>
      <c r="K306" s="325"/>
      <c r="L306" s="84"/>
      <c r="M306" s="419"/>
      <c r="N306" s="84"/>
    </row>
    <row r="307" spans="1:14" ht="15.75" customHeight="1">
      <c r="A307" s="423"/>
      <c r="E307" s="414"/>
      <c r="F307" s="411" t="s">
        <v>626</v>
      </c>
      <c r="G307" s="426"/>
      <c r="H307" s="403">
        <f>SUMIF(H12:H231,"2041",M12:M231)</f>
        <v>35000</v>
      </c>
      <c r="I307" s="84"/>
      <c r="J307" s="90"/>
      <c r="K307" s="406">
        <f>(H306+H307)/K237</f>
        <v>96.65</v>
      </c>
      <c r="L307" s="84"/>
      <c r="M307" s="419"/>
      <c r="N307" s="84"/>
    </row>
    <row r="308" spans="1:14" ht="15.75" customHeight="1">
      <c r="A308" s="423"/>
      <c r="E308" s="414"/>
      <c r="F308" s="305"/>
      <c r="G308" s="90"/>
      <c r="H308" s="250"/>
      <c r="I308" s="84"/>
      <c r="J308" s="90"/>
      <c r="K308" s="325"/>
      <c r="L308" s="84"/>
      <c r="M308" s="419"/>
      <c r="N308" s="84"/>
    </row>
    <row r="309" spans="1:14" ht="15.75" customHeight="1">
      <c r="A309" s="423"/>
      <c r="E309" s="414"/>
      <c r="F309" s="411" t="s">
        <v>627</v>
      </c>
      <c r="G309" s="426"/>
      <c r="H309" s="403">
        <f>SUMIF(F12:F231,"2042",M12:M231)+SUMIF(F12:F231,"Löpande årligen",M12:M231)</f>
        <v>131917</v>
      </c>
      <c r="I309" s="84"/>
      <c r="J309" s="90"/>
      <c r="K309" s="325"/>
      <c r="L309" s="84"/>
      <c r="M309" s="419"/>
      <c r="N309" s="84"/>
    </row>
    <row r="310" spans="1:14" ht="15.75" customHeight="1">
      <c r="A310" s="423"/>
      <c r="E310" s="414"/>
      <c r="F310" s="411" t="s">
        <v>628</v>
      </c>
      <c r="G310" s="426"/>
      <c r="H310" s="403">
        <f>SUMIF(H12:H231,"2042",M12:M231)</f>
        <v>54500</v>
      </c>
      <c r="I310" s="84"/>
      <c r="J310" s="90"/>
      <c r="K310" s="406">
        <f>(H309+H310)/K237</f>
        <v>115.07222222222222</v>
      </c>
      <c r="L310" s="84"/>
      <c r="M310" s="419"/>
      <c r="N310" s="84"/>
    </row>
    <row r="311" spans="1:14" ht="15.75" customHeight="1">
      <c r="A311" s="423"/>
      <c r="E311" s="414"/>
      <c r="F311" s="305"/>
      <c r="G311" s="90"/>
      <c r="H311" s="250"/>
      <c r="I311" s="84"/>
      <c r="J311" s="90"/>
      <c r="K311" s="325"/>
      <c r="L311" s="84"/>
      <c r="M311" s="419"/>
      <c r="N311" s="84"/>
    </row>
    <row r="312" spans="1:14" ht="15.75" customHeight="1">
      <c r="A312" s="423"/>
      <c r="E312" s="414"/>
      <c r="F312" s="411" t="s">
        <v>629</v>
      </c>
      <c r="G312" s="426"/>
      <c r="H312" s="403">
        <f>SUMIF(F12:F231,"2043",M12:M231)+SUMIF(F12:F231,"Löpande årligen",M12:M231)</f>
        <v>120073</v>
      </c>
      <c r="I312" s="84"/>
      <c r="J312" s="90"/>
      <c r="K312" s="325"/>
      <c r="L312" s="84"/>
      <c r="M312" s="419"/>
      <c r="N312" s="84"/>
    </row>
    <row r="313" spans="1:14" ht="15.75" customHeight="1">
      <c r="A313" s="423"/>
      <c r="E313" s="414"/>
      <c r="F313" s="411" t="s">
        <v>630</v>
      </c>
      <c r="G313" s="426"/>
      <c r="H313" s="403">
        <f>SUMIF(H12:H231,"2043",M12:M231)</f>
        <v>1000</v>
      </c>
      <c r="I313" s="84"/>
      <c r="J313" s="90"/>
      <c r="K313" s="406">
        <f>(H312+H313)/K237</f>
        <v>74.736419753086423</v>
      </c>
      <c r="L313" s="84"/>
      <c r="M313" s="419"/>
      <c r="N313" s="84"/>
    </row>
    <row r="314" spans="1:14" ht="15.75" customHeight="1">
      <c r="A314" s="423"/>
      <c r="E314" s="414"/>
      <c r="F314" s="305"/>
      <c r="G314" s="90"/>
      <c r="H314" s="250"/>
      <c r="I314" s="84"/>
      <c r="J314" s="90"/>
      <c r="K314" s="325"/>
      <c r="L314" s="84"/>
      <c r="M314" s="419"/>
      <c r="N314" s="84"/>
    </row>
    <row r="315" spans="1:14" ht="15.75" customHeight="1">
      <c r="A315" s="423"/>
      <c r="E315" s="414"/>
      <c r="F315" s="411" t="s">
        <v>631</v>
      </c>
      <c r="G315" s="426"/>
      <c r="H315" s="413">
        <f>SUMIF(F12:F231,"2044",M12:M231)+SUMIF(F12:F231,"Löpande årligen",M12:M231)</f>
        <v>88073</v>
      </c>
      <c r="I315" s="84"/>
      <c r="J315" s="90"/>
      <c r="K315" s="325"/>
      <c r="L315" s="84"/>
      <c r="M315" s="419"/>
      <c r="N315" s="84"/>
    </row>
    <row r="316" spans="1:14" ht="15.75" customHeight="1">
      <c r="A316" s="423"/>
      <c r="E316" s="414"/>
      <c r="F316" s="411" t="s">
        <v>632</v>
      </c>
      <c r="G316" s="426"/>
      <c r="H316" s="403">
        <f>SUMIF(H12:H231,"2044",M12:M231)</f>
        <v>62500</v>
      </c>
      <c r="I316" s="84"/>
      <c r="J316" s="90"/>
      <c r="K316" s="406">
        <f>(H315+H316)/K237</f>
        <v>92.946296296296296</v>
      </c>
      <c r="L316" s="84"/>
      <c r="M316" s="419"/>
      <c r="N316" s="84"/>
    </row>
    <row r="317" spans="1:14" ht="15.75" customHeight="1">
      <c r="A317" s="423"/>
      <c r="E317" s="414"/>
      <c r="F317" s="305"/>
      <c r="G317" s="90"/>
      <c r="H317" s="250"/>
      <c r="I317" s="84"/>
      <c r="J317" s="90"/>
      <c r="K317" s="325"/>
      <c r="L317" s="84"/>
      <c r="M317" s="419"/>
      <c r="N317" s="84"/>
    </row>
    <row r="318" spans="1:14" ht="15.75" customHeight="1">
      <c r="A318" s="423"/>
      <c r="E318" s="414"/>
      <c r="F318" s="411" t="s">
        <v>633</v>
      </c>
      <c r="G318" s="426"/>
      <c r="H318" s="403">
        <f>SUMIF(F12:F231,"2045",M12:M231)+SUMIF(F12:F231,"Löpande årligen",M12:M231)</f>
        <v>299913</v>
      </c>
      <c r="I318" s="84"/>
      <c r="J318" s="90"/>
      <c r="K318" s="325"/>
      <c r="L318" s="84"/>
      <c r="M318" s="419"/>
      <c r="N318" s="84"/>
    </row>
    <row r="319" spans="1:14" ht="15.75" customHeight="1">
      <c r="A319" s="423"/>
      <c r="E319" s="414"/>
      <c r="F319" s="411" t="s">
        <v>634</v>
      </c>
      <c r="G319" s="426"/>
      <c r="H319" s="403">
        <f>SUMIF(H12:H231,"2045",M12:M231)</f>
        <v>0</v>
      </c>
      <c r="I319" s="84"/>
      <c r="J319" s="90"/>
      <c r="K319" s="406">
        <f>(H318+H319)/K237</f>
        <v>185.13148148148147</v>
      </c>
      <c r="L319" s="84"/>
      <c r="M319" s="419"/>
      <c r="N319" s="84"/>
    </row>
    <row r="320" spans="1:14" ht="15.75" customHeight="1">
      <c r="A320" s="423"/>
      <c r="E320" s="414"/>
      <c r="F320" s="305"/>
      <c r="G320" s="90"/>
      <c r="H320" s="250"/>
      <c r="I320" s="84"/>
      <c r="J320" s="90"/>
      <c r="K320" s="325"/>
      <c r="L320" s="84"/>
      <c r="M320" s="419"/>
      <c r="N320" s="84"/>
    </row>
    <row r="321" spans="1:14" ht="15.75" customHeight="1">
      <c r="A321" s="423"/>
      <c r="E321" s="414"/>
      <c r="F321" s="411" t="s">
        <v>635</v>
      </c>
      <c r="G321" s="426"/>
      <c r="H321" s="413">
        <f>SUMIF(F12:F231,"2046",M12:M231)+SUMIF(F12:F231,"Löpande årligen",M12:M231)</f>
        <v>133373</v>
      </c>
      <c r="I321" s="84"/>
      <c r="J321" s="90"/>
      <c r="K321" s="325"/>
      <c r="L321" s="84"/>
      <c r="M321" s="419"/>
      <c r="N321" s="84"/>
    </row>
    <row r="322" spans="1:14" ht="15.75" customHeight="1">
      <c r="A322" s="423"/>
      <c r="E322" s="414"/>
      <c r="F322" s="411" t="s">
        <v>636</v>
      </c>
      <c r="G322" s="426"/>
      <c r="H322" s="403">
        <f>SUMIF(H12:H231,"2046",M12:M231)</f>
        <v>150000</v>
      </c>
      <c r="I322" s="84"/>
      <c r="J322" s="90"/>
      <c r="K322" s="406">
        <f>(H321+H322)/K237</f>
        <v>174.9216049382716</v>
      </c>
      <c r="L322" s="84"/>
      <c r="M322" s="419"/>
      <c r="N322" s="84"/>
    </row>
    <row r="323" spans="1:14" ht="15.75" customHeight="1">
      <c r="A323" s="423"/>
      <c r="E323" s="414"/>
      <c r="F323" s="305"/>
      <c r="G323" s="90"/>
      <c r="H323" s="250"/>
      <c r="I323" s="84"/>
      <c r="J323" s="90"/>
      <c r="K323" s="325"/>
      <c r="L323" s="84"/>
      <c r="M323" s="419"/>
      <c r="N323" s="84"/>
    </row>
    <row r="324" spans="1:14" ht="15.75" customHeight="1">
      <c r="A324" s="423"/>
      <c r="E324" s="414"/>
      <c r="F324" s="411" t="s">
        <v>637</v>
      </c>
      <c r="G324" s="426"/>
      <c r="H324" s="403">
        <f>SUMIF(F12:F231,"2047",M12:M231)+SUMIF(F12:F231,"Löpande årligen",M12:M231)</f>
        <v>207737</v>
      </c>
      <c r="I324" s="84"/>
      <c r="J324" s="90"/>
      <c r="K324" s="325"/>
      <c r="L324" s="84"/>
      <c r="M324" s="419"/>
      <c r="N324" s="84"/>
    </row>
    <row r="325" spans="1:14" ht="15.75" customHeight="1">
      <c r="A325" s="423"/>
      <c r="E325" s="414"/>
      <c r="F325" s="411" t="s">
        <v>638</v>
      </c>
      <c r="G325" s="426"/>
      <c r="H325" s="403">
        <f>SUMIF(H12:H231,"2047",M12:M231)</f>
        <v>274000</v>
      </c>
      <c r="I325" s="84"/>
      <c r="J325" s="90"/>
      <c r="K325" s="406">
        <f>(H324+H325)/K237</f>
        <v>297.3685185185185</v>
      </c>
      <c r="L325" s="84"/>
      <c r="M325" s="419"/>
      <c r="N325" s="84"/>
    </row>
    <row r="326" spans="1:14" ht="15.75" customHeight="1">
      <c r="A326" s="423"/>
      <c r="E326" s="414"/>
      <c r="F326" s="305"/>
      <c r="G326" s="90"/>
      <c r="H326" s="250"/>
      <c r="I326" s="84"/>
      <c r="J326" s="90"/>
      <c r="K326" s="325"/>
      <c r="L326" s="84"/>
      <c r="M326" s="419"/>
      <c r="N326" s="84"/>
    </row>
    <row r="327" spans="1:14" ht="15.75" customHeight="1">
      <c r="A327" s="423"/>
      <c r="E327" s="414"/>
      <c r="F327" s="411" t="s">
        <v>639</v>
      </c>
      <c r="G327" s="426"/>
      <c r="H327" s="403">
        <f>SUMIF(F12:F231,"2048",M12:M231)+SUMIF(F12:F231,"Löpande årligen",M12:M231)</f>
        <v>470628</v>
      </c>
      <c r="I327" s="84"/>
      <c r="J327" s="90"/>
      <c r="K327" s="325"/>
      <c r="L327" s="84"/>
      <c r="M327" s="419"/>
      <c r="N327" s="135" t="s">
        <v>77</v>
      </c>
    </row>
    <row r="328" spans="1:14" ht="15.75" customHeight="1">
      <c r="A328" s="423"/>
      <c r="E328" s="414"/>
      <c r="F328" s="411" t="s">
        <v>640</v>
      </c>
      <c r="G328" s="426"/>
      <c r="H328" s="403">
        <f>SUMIF(H12:H231,"2048",M12:M231)</f>
        <v>6032000</v>
      </c>
      <c r="I328" s="84"/>
      <c r="J328" s="90"/>
      <c r="K328" s="406">
        <f>(H327+H328)/K237</f>
        <v>4013.9679012345678</v>
      </c>
      <c r="L328" s="84"/>
      <c r="M328" s="419"/>
      <c r="N328" s="84"/>
    </row>
    <row r="329" spans="1:14" ht="15.75" customHeight="1">
      <c r="A329" s="423"/>
      <c r="E329" s="414"/>
      <c r="F329" s="305"/>
      <c r="G329" s="90"/>
      <c r="H329" s="250"/>
      <c r="I329" s="84"/>
      <c r="J329" s="90"/>
      <c r="K329" s="325"/>
      <c r="L329" s="84"/>
      <c r="M329" s="419"/>
      <c r="N329" s="84"/>
    </row>
    <row r="330" spans="1:14" ht="15.75" customHeight="1">
      <c r="A330" s="423"/>
      <c r="E330" s="414"/>
      <c r="F330" s="411" t="s">
        <v>641</v>
      </c>
      <c r="G330" s="426"/>
      <c r="H330" s="403">
        <f>SUMIF(F12:F231,"2049",M12:M231)+SUMIF(F12:F231,"Löpande årligen",M12:M231)</f>
        <v>134198</v>
      </c>
      <c r="I330" s="84"/>
      <c r="J330" s="90"/>
      <c r="K330" s="325"/>
      <c r="L330" s="84"/>
      <c r="M330" s="419"/>
      <c r="N330" s="84"/>
    </row>
    <row r="331" spans="1:14" ht="15.75" customHeight="1">
      <c r="A331" s="423"/>
      <c r="E331" s="414"/>
      <c r="F331" s="411" t="s">
        <v>642</v>
      </c>
      <c r="G331" s="426"/>
      <c r="H331" s="403">
        <f>SUMIF(H12:H231,"2049",M12:M231)</f>
        <v>207170</v>
      </c>
      <c r="I331" s="84"/>
      <c r="J331" s="90"/>
      <c r="K331" s="406">
        <f>(H330+H331)/K237</f>
        <v>210.72098765432099</v>
      </c>
      <c r="L331" s="84"/>
      <c r="M331" s="419"/>
      <c r="N331" s="84"/>
    </row>
    <row r="332" spans="1:14" ht="15.75" customHeight="1">
      <c r="A332" s="423"/>
      <c r="E332" s="414"/>
      <c r="F332" s="305"/>
      <c r="G332" s="90"/>
      <c r="H332" s="250"/>
      <c r="I332" s="84"/>
      <c r="J332" s="90"/>
      <c r="K332" s="325"/>
      <c r="L332" s="84"/>
      <c r="M332" s="419"/>
      <c r="N332" s="84"/>
    </row>
    <row r="333" spans="1:14" ht="15.75" customHeight="1">
      <c r="A333" s="423"/>
      <c r="E333" s="414"/>
      <c r="F333" s="411" t="s">
        <v>643</v>
      </c>
      <c r="G333" s="426"/>
      <c r="H333" s="403">
        <f>SUMIF(F12:F231,"2050",M12:M231)+SUMIF(F12:F231,"Löpande årligen",M12:M231)</f>
        <v>341573</v>
      </c>
      <c r="I333" s="84"/>
      <c r="J333" s="90"/>
      <c r="K333" s="325"/>
      <c r="L333" s="84"/>
      <c r="M333" s="419"/>
      <c r="N333" s="84"/>
    </row>
    <row r="334" spans="1:14" ht="15.75" customHeight="1">
      <c r="A334" s="423"/>
      <c r="E334" s="414"/>
      <c r="F334" s="411" t="s">
        <v>644</v>
      </c>
      <c r="G334" s="426"/>
      <c r="H334" s="403">
        <f>SUMIF(H12:H231,"2050",M12:M231)</f>
        <v>30000</v>
      </c>
      <c r="I334" s="84"/>
      <c r="J334" s="90"/>
      <c r="K334" s="406">
        <f>(H333+H334)/K237</f>
        <v>229.36604938271606</v>
      </c>
      <c r="L334" s="84"/>
      <c r="M334" s="419"/>
      <c r="N334" s="84"/>
    </row>
    <row r="335" spans="1:14" ht="15.75" customHeight="1">
      <c r="A335" s="423"/>
      <c r="E335" s="414"/>
      <c r="F335" s="305"/>
      <c r="G335" s="90"/>
      <c r="H335" s="250"/>
      <c r="I335" s="84"/>
      <c r="J335" s="90"/>
      <c r="K335" s="406"/>
      <c r="L335" s="84"/>
      <c r="M335" s="419"/>
      <c r="N335" s="84"/>
    </row>
    <row r="336" spans="1:14" ht="15.75" customHeight="1">
      <c r="A336" s="423"/>
      <c r="E336" s="414"/>
      <c r="F336" s="411" t="s">
        <v>645</v>
      </c>
      <c r="G336" s="426"/>
      <c r="H336" s="403">
        <f>SUMIF(F12:F231,"2051",M12:M231)+SUMIF(F12:F231,"Löpande årligen",M12:M231)</f>
        <v>200573</v>
      </c>
      <c r="I336" s="84"/>
      <c r="J336" s="90"/>
      <c r="K336" s="406"/>
      <c r="L336" s="84"/>
      <c r="M336" s="419"/>
      <c r="N336" s="84"/>
    </row>
    <row r="337" spans="1:14" ht="15.75" customHeight="1">
      <c r="A337" s="423"/>
      <c r="E337" s="414"/>
      <c r="F337" s="411" t="s">
        <v>646</v>
      </c>
      <c r="G337" s="426"/>
      <c r="H337" s="403">
        <f>SUMIF(H12:H231,"2051",M12:M231)</f>
        <v>81000</v>
      </c>
      <c r="I337" s="84"/>
      <c r="J337" s="90"/>
      <c r="K337" s="406">
        <f>(H336+H337)/K237</f>
        <v>173.81049382716049</v>
      </c>
      <c r="L337" s="84"/>
      <c r="M337" s="419"/>
      <c r="N337" s="84"/>
    </row>
    <row r="338" spans="1:14" ht="15.75" customHeight="1">
      <c r="A338" s="423"/>
      <c r="E338" s="414"/>
      <c r="F338" s="305"/>
      <c r="G338" s="90"/>
      <c r="H338" s="250"/>
      <c r="I338" s="84"/>
      <c r="J338" s="90"/>
      <c r="K338" s="325"/>
      <c r="L338" s="84"/>
      <c r="M338" s="419"/>
      <c r="N338" s="84"/>
    </row>
    <row r="339" spans="1:14" ht="15.75" customHeight="1">
      <c r="A339" s="423"/>
      <c r="E339" s="414"/>
      <c r="F339" s="411" t="s">
        <v>647</v>
      </c>
      <c r="G339" s="426"/>
      <c r="H339" s="250">
        <f>SUMIF(F12:F231,"2052",M12:M231)+SUMIF(F12:F231,"Löpande årligen",M12:M231)</f>
        <v>88073</v>
      </c>
      <c r="I339" s="84"/>
      <c r="J339" s="90"/>
      <c r="K339" s="90"/>
      <c r="L339" s="84"/>
      <c r="M339" s="419"/>
      <c r="N339" s="84"/>
    </row>
    <row r="340" spans="1:14" ht="15.75" customHeight="1">
      <c r="A340" s="423"/>
      <c r="E340" s="414"/>
      <c r="F340" s="411" t="s">
        <v>648</v>
      </c>
      <c r="G340" s="426"/>
      <c r="H340" s="250">
        <f>SUMIF(H12:H231,"2052",M12:M231)</f>
        <v>0</v>
      </c>
      <c r="I340" s="84"/>
      <c r="J340" s="90"/>
      <c r="K340" s="249">
        <f>(H340+H339)/K237</f>
        <v>54.366049382716049</v>
      </c>
      <c r="L340" s="84"/>
      <c r="M340" s="419"/>
      <c r="N340" s="84"/>
    </row>
    <row r="341" spans="1:14" ht="15.75" customHeight="1">
      <c r="A341" s="423"/>
      <c r="E341" s="414"/>
      <c r="F341" s="84"/>
      <c r="G341" s="84"/>
      <c r="H341" s="427"/>
      <c r="I341" s="84"/>
      <c r="J341" s="84"/>
      <c r="K341" s="84"/>
      <c r="L341" s="84"/>
      <c r="M341" s="419"/>
      <c r="N341" s="84"/>
    </row>
    <row r="342" spans="1:14" ht="15.75" customHeight="1">
      <c r="A342" s="423"/>
      <c r="E342" s="414"/>
      <c r="F342" s="84"/>
      <c r="G342" s="135"/>
      <c r="H342" s="135"/>
      <c r="I342" s="84"/>
      <c r="J342" s="135"/>
      <c r="K342" s="135"/>
      <c r="L342" s="135"/>
      <c r="M342" s="395"/>
      <c r="N342" s="135"/>
    </row>
    <row r="343" spans="1:14" ht="15.75" customHeight="1">
      <c r="A343" s="423"/>
      <c r="E343" s="414"/>
      <c r="F343" s="84"/>
      <c r="G343" s="135"/>
      <c r="H343" s="135"/>
      <c r="I343" s="84"/>
      <c r="J343" s="135"/>
      <c r="K343" s="135"/>
      <c r="L343" s="135"/>
      <c r="M343" s="395"/>
      <c r="N343" s="135"/>
    </row>
    <row r="344" spans="1:14" ht="15.75" customHeight="1">
      <c r="A344" s="423"/>
      <c r="E344" s="414"/>
      <c r="F344" s="428" t="s">
        <v>649</v>
      </c>
      <c r="G344" s="429"/>
      <c r="H344" s="401"/>
      <c r="I344" s="84"/>
      <c r="J344" s="135"/>
      <c r="K344" s="135"/>
      <c r="L344" s="135"/>
      <c r="M344" s="395"/>
      <c r="N344" s="135"/>
    </row>
    <row r="345" spans="1:14" ht="15.75" customHeight="1">
      <c r="A345" s="423"/>
      <c r="E345" s="84"/>
      <c r="F345" s="430" t="s">
        <v>650</v>
      </c>
      <c r="G345" s="431"/>
      <c r="H345" s="401"/>
      <c r="I345" s="84"/>
      <c r="J345" s="135"/>
      <c r="K345" s="135"/>
      <c r="L345" s="135"/>
      <c r="M345" s="395"/>
      <c r="N345" s="135"/>
    </row>
    <row r="346" spans="1:14" ht="15.75" customHeight="1">
      <c r="A346" s="423"/>
      <c r="E346" s="84"/>
      <c r="F346" s="84"/>
      <c r="G346" s="135"/>
      <c r="H346" s="135"/>
      <c r="I346" s="84"/>
      <c r="J346" s="135"/>
      <c r="K346" s="135"/>
      <c r="L346" s="135"/>
      <c r="M346" s="395"/>
      <c r="N346" s="135"/>
    </row>
    <row r="347" spans="1:14" ht="15.75" customHeight="1">
      <c r="A347" s="423"/>
      <c r="E347" s="84"/>
      <c r="F347" s="430" t="s">
        <v>651</v>
      </c>
      <c r="G347" s="431"/>
      <c r="H347" s="401"/>
      <c r="I347" s="84"/>
      <c r="J347" s="135"/>
      <c r="K347" s="135"/>
      <c r="L347" s="135"/>
      <c r="M347" s="395"/>
      <c r="N347" s="135"/>
    </row>
    <row r="348" spans="1:14" ht="15.75" customHeight="1">
      <c r="A348" s="423"/>
      <c r="E348" s="84"/>
      <c r="F348" s="430" t="s">
        <v>652</v>
      </c>
      <c r="G348" s="412"/>
      <c r="H348" s="401"/>
      <c r="I348" s="84"/>
      <c r="J348" s="135"/>
      <c r="K348" s="135"/>
      <c r="L348" s="135"/>
      <c r="M348" s="395"/>
      <c r="N348" s="135"/>
    </row>
    <row r="349" spans="1:14" ht="15.75" customHeight="1">
      <c r="A349" s="423"/>
      <c r="E349" s="84"/>
      <c r="F349" s="84"/>
      <c r="G349" s="135"/>
      <c r="H349" s="135"/>
      <c r="I349" s="84"/>
      <c r="J349" s="135"/>
      <c r="K349" s="135"/>
      <c r="L349" s="135"/>
      <c r="M349" s="395"/>
      <c r="N349" s="135"/>
    </row>
    <row r="350" spans="1:14" ht="15.75" customHeight="1">
      <c r="A350" s="423"/>
      <c r="E350" s="84"/>
      <c r="F350" s="432" t="s">
        <v>653</v>
      </c>
      <c r="G350" s="429"/>
      <c r="H350" s="401"/>
      <c r="I350" s="84"/>
      <c r="J350" s="135"/>
      <c r="K350" s="135"/>
      <c r="L350" s="135"/>
      <c r="M350" s="395"/>
      <c r="N350" s="135"/>
    </row>
    <row r="351" spans="1:14" ht="15.75" customHeight="1">
      <c r="A351" s="423"/>
      <c r="E351" s="84"/>
      <c r="F351" s="430" t="s">
        <v>654</v>
      </c>
      <c r="G351" s="431"/>
      <c r="H351" s="401"/>
      <c r="I351" s="84"/>
      <c r="J351" s="135"/>
      <c r="K351" s="135"/>
      <c r="L351" s="135"/>
      <c r="M351" s="395"/>
      <c r="N351" s="135"/>
    </row>
    <row r="352" spans="1:14" ht="15.75" customHeight="1">
      <c r="A352" s="423"/>
      <c r="E352" s="84"/>
      <c r="F352" s="84"/>
      <c r="G352" s="135"/>
      <c r="H352" s="135"/>
      <c r="I352" s="84"/>
      <c r="J352" s="135"/>
      <c r="K352" s="135"/>
      <c r="L352" s="135"/>
      <c r="M352" s="395"/>
      <c r="N352" s="135"/>
    </row>
    <row r="353" spans="1:14" ht="15.75" customHeight="1">
      <c r="A353" s="423"/>
      <c r="E353" s="84"/>
      <c r="F353" s="84"/>
      <c r="G353" s="135"/>
      <c r="H353" s="135"/>
      <c r="I353" s="84"/>
      <c r="J353" s="135"/>
      <c r="K353" s="135"/>
      <c r="L353" s="135"/>
      <c r="M353" s="395"/>
      <c r="N353" s="135"/>
    </row>
    <row r="354" spans="1:14" ht="15.75" customHeight="1">
      <c r="A354" s="423"/>
      <c r="E354" s="84"/>
      <c r="F354" s="432" t="s">
        <v>655</v>
      </c>
      <c r="G354" s="429"/>
      <c r="H354" s="401"/>
      <c r="I354" s="84"/>
      <c r="J354" s="135"/>
      <c r="K354" s="135"/>
      <c r="L354" s="135"/>
      <c r="M354" s="395"/>
      <c r="N354" s="135"/>
    </row>
    <row r="355" spans="1:14" ht="15.75" customHeight="1">
      <c r="A355" s="423"/>
      <c r="E355" s="84"/>
      <c r="F355" s="430" t="s">
        <v>656</v>
      </c>
      <c r="G355" s="431"/>
      <c r="H355" s="401"/>
      <c r="I355" s="84"/>
      <c r="J355" s="135"/>
      <c r="K355" s="135"/>
      <c r="L355" s="135"/>
      <c r="M355" s="395"/>
      <c r="N355" s="135"/>
    </row>
    <row r="356" spans="1:14" ht="15.75" customHeight="1">
      <c r="A356" s="423"/>
      <c r="E356" s="84"/>
      <c r="F356" s="84"/>
      <c r="G356" s="135"/>
      <c r="H356" s="135"/>
      <c r="I356" s="84"/>
      <c r="J356" s="135"/>
      <c r="K356" s="135"/>
      <c r="L356" s="135"/>
      <c r="M356" s="395"/>
      <c r="N356" s="135"/>
    </row>
    <row r="357" spans="1:14" ht="15.75" customHeight="1">
      <c r="A357" s="423"/>
      <c r="E357" s="84"/>
      <c r="F357" s="432" t="s">
        <v>657</v>
      </c>
      <c r="G357" s="429"/>
      <c r="H357" s="401"/>
      <c r="I357" s="84"/>
      <c r="J357" s="135"/>
      <c r="K357" s="135"/>
      <c r="L357" s="135"/>
      <c r="M357" s="395"/>
      <c r="N357" s="135"/>
    </row>
    <row r="358" spans="1:14" ht="15.75" customHeight="1">
      <c r="A358" s="423"/>
      <c r="E358" s="84"/>
      <c r="F358" s="430" t="s">
        <v>658</v>
      </c>
      <c r="G358" s="431"/>
      <c r="H358" s="401"/>
      <c r="I358" s="84"/>
      <c r="J358" s="135"/>
      <c r="K358" s="135"/>
      <c r="L358" s="135"/>
      <c r="M358" s="395"/>
      <c r="N358" s="135"/>
    </row>
    <row r="359" spans="1:14" ht="15.75" customHeight="1">
      <c r="A359" s="423"/>
      <c r="E359" s="84"/>
      <c r="F359" s="84"/>
      <c r="G359" s="135"/>
      <c r="H359" s="135"/>
      <c r="I359" s="84"/>
      <c r="J359" s="135"/>
      <c r="K359" s="135"/>
      <c r="L359" s="135"/>
      <c r="M359" s="395"/>
      <c r="N359" s="135"/>
    </row>
    <row r="360" spans="1:14" ht="15.75" customHeight="1">
      <c r="A360" s="423"/>
      <c r="E360" s="84"/>
      <c r="F360" s="432" t="s">
        <v>659</v>
      </c>
      <c r="G360" s="429"/>
      <c r="H360" s="401"/>
      <c r="I360" s="84"/>
      <c r="J360" s="135"/>
      <c r="K360" s="135"/>
      <c r="L360" s="135"/>
      <c r="M360" s="395"/>
      <c r="N360" s="135"/>
    </row>
    <row r="361" spans="1:14" ht="15.75" customHeight="1">
      <c r="A361" s="423"/>
      <c r="E361" s="84"/>
      <c r="F361" s="430" t="s">
        <v>660</v>
      </c>
      <c r="G361" s="431"/>
      <c r="H361" s="401"/>
      <c r="I361" s="84"/>
      <c r="J361" s="135"/>
      <c r="K361" s="135"/>
      <c r="L361" s="135"/>
      <c r="M361" s="395"/>
      <c r="N361" s="135"/>
    </row>
    <row r="362" spans="1:14" ht="15.75" customHeight="1">
      <c r="A362" s="423"/>
      <c r="E362" s="84"/>
      <c r="F362" s="84"/>
      <c r="G362" s="135"/>
      <c r="H362" s="135"/>
      <c r="I362" s="84"/>
      <c r="J362" s="135"/>
      <c r="K362" s="135"/>
      <c r="L362" s="135"/>
      <c r="M362" s="395"/>
      <c r="N362" s="135"/>
    </row>
    <row r="363" spans="1:14" ht="15.75" customHeight="1">
      <c r="A363" s="423"/>
      <c r="E363" s="84"/>
      <c r="F363" s="432" t="s">
        <v>661</v>
      </c>
      <c r="G363" s="429"/>
      <c r="H363" s="401"/>
      <c r="I363" s="84"/>
      <c r="J363" s="135"/>
      <c r="K363" s="135"/>
      <c r="L363" s="135"/>
      <c r="M363" s="395"/>
      <c r="N363" s="135"/>
    </row>
    <row r="364" spans="1:14" ht="15.75" customHeight="1">
      <c r="A364" s="423"/>
      <c r="E364" s="84"/>
      <c r="F364" s="430" t="s">
        <v>662</v>
      </c>
      <c r="G364" s="431"/>
      <c r="H364" s="401"/>
      <c r="I364" s="84"/>
      <c r="J364" s="135"/>
      <c r="K364" s="135"/>
      <c r="L364" s="135"/>
      <c r="M364" s="395"/>
      <c r="N364" s="135"/>
    </row>
    <row r="365" spans="1:14" ht="15.75" customHeight="1">
      <c r="A365" s="423"/>
      <c r="E365" s="84"/>
      <c r="F365" s="84"/>
      <c r="G365" s="135"/>
      <c r="H365" s="135"/>
      <c r="I365" s="84"/>
      <c r="J365" s="135"/>
      <c r="K365" s="135"/>
      <c r="L365" s="135"/>
      <c r="M365" s="395"/>
      <c r="N365" s="135"/>
    </row>
    <row r="366" spans="1:14" ht="15.75" customHeight="1">
      <c r="A366" s="423"/>
      <c r="E366" s="84"/>
      <c r="F366" s="84"/>
      <c r="G366" s="135"/>
      <c r="H366" s="135"/>
      <c r="I366" s="84"/>
      <c r="J366" s="135"/>
      <c r="K366" s="135"/>
      <c r="L366" s="135"/>
      <c r="M366" s="395"/>
      <c r="N366" s="135"/>
    </row>
    <row r="367" spans="1:14" ht="15.75" customHeight="1">
      <c r="A367" s="423"/>
      <c r="E367" s="84"/>
      <c r="F367" s="84"/>
      <c r="G367" s="135"/>
      <c r="H367" s="135"/>
      <c r="I367" s="84"/>
      <c r="J367" s="135"/>
      <c r="K367" s="135"/>
      <c r="L367" s="135"/>
      <c r="M367" s="395"/>
      <c r="N367" s="135"/>
    </row>
    <row r="368" spans="1:14" ht="15.75" customHeight="1">
      <c r="A368" s="423"/>
      <c r="E368" s="84"/>
      <c r="F368" s="84"/>
      <c r="G368" s="135"/>
      <c r="H368" s="135"/>
      <c r="I368" s="84"/>
      <c r="J368" s="135"/>
      <c r="K368" s="135"/>
      <c r="L368" s="135"/>
      <c r="M368" s="395"/>
      <c r="N368" s="135"/>
    </row>
    <row r="369" spans="1:14" ht="15.75" customHeight="1">
      <c r="A369" s="423"/>
      <c r="E369" s="84"/>
      <c r="G369" s="71"/>
      <c r="H369" s="135"/>
      <c r="J369" s="135"/>
      <c r="K369" s="135"/>
      <c r="L369" s="71"/>
      <c r="M369" s="433"/>
      <c r="N369" s="135"/>
    </row>
    <row r="370" spans="1:14" ht="15.75" customHeight="1">
      <c r="A370" s="423"/>
      <c r="E370" s="84"/>
      <c r="G370" s="71"/>
      <c r="H370" s="135"/>
      <c r="J370" s="135"/>
      <c r="K370" s="135"/>
      <c r="L370" s="71"/>
      <c r="M370" s="433"/>
      <c r="N370" s="135"/>
    </row>
    <row r="371" spans="1:14" ht="15.75" customHeight="1">
      <c r="A371" s="423"/>
      <c r="E371" s="84"/>
      <c r="G371" s="71"/>
      <c r="H371" s="135"/>
      <c r="J371" s="135"/>
      <c r="K371" s="135"/>
      <c r="L371" s="71"/>
      <c r="M371" s="433"/>
      <c r="N371" s="135"/>
    </row>
    <row r="372" spans="1:14" ht="15.75" customHeight="1">
      <c r="A372" s="423"/>
      <c r="E372" s="84"/>
      <c r="G372" s="71"/>
      <c r="H372" s="135"/>
      <c r="J372" s="135"/>
      <c r="K372" s="135"/>
      <c r="L372" s="71"/>
      <c r="M372" s="433"/>
      <c r="N372" s="135"/>
    </row>
    <row r="373" spans="1:14" ht="15.75" customHeight="1">
      <c r="A373" s="423"/>
      <c r="E373" s="84"/>
      <c r="G373" s="71"/>
      <c r="H373" s="135"/>
      <c r="J373" s="135"/>
      <c r="K373" s="135"/>
      <c r="L373" s="71"/>
      <c r="M373" s="433"/>
      <c r="N373" s="135"/>
    </row>
    <row r="374" spans="1:14" ht="15.75" customHeight="1">
      <c r="A374" s="423"/>
      <c r="E374" s="84"/>
      <c r="G374" s="71"/>
      <c r="H374" s="135"/>
      <c r="J374" s="135"/>
      <c r="K374" s="135"/>
      <c r="L374" s="71"/>
      <c r="M374" s="433"/>
      <c r="N374" s="135"/>
    </row>
    <row r="375" spans="1:14" ht="15.75" customHeight="1">
      <c r="A375" s="423"/>
      <c r="E375" s="84"/>
      <c r="G375" s="71"/>
      <c r="H375" s="135"/>
      <c r="J375" s="135"/>
      <c r="K375" s="135"/>
      <c r="L375" s="71"/>
      <c r="M375" s="433"/>
      <c r="N375" s="135"/>
    </row>
    <row r="376" spans="1:14" ht="15.75" customHeight="1">
      <c r="A376" s="423"/>
      <c r="E376" s="84"/>
      <c r="G376" s="71"/>
      <c r="H376" s="135"/>
      <c r="J376" s="135"/>
      <c r="K376" s="135"/>
      <c r="L376" s="71"/>
      <c r="M376" s="433"/>
      <c r="N376" s="135"/>
    </row>
    <row r="377" spans="1:14" ht="15.75" customHeight="1">
      <c r="A377" s="423"/>
      <c r="E377" s="84"/>
      <c r="G377" s="71"/>
      <c r="H377" s="135"/>
      <c r="J377" s="135"/>
      <c r="K377" s="135"/>
      <c r="L377" s="71"/>
      <c r="M377" s="433"/>
      <c r="N377" s="135"/>
    </row>
    <row r="378" spans="1:14" ht="15.75" customHeight="1">
      <c r="A378" s="423"/>
      <c r="E378" s="84"/>
      <c r="G378" s="71"/>
      <c r="H378" s="135"/>
      <c r="J378" s="135"/>
      <c r="K378" s="135"/>
      <c r="L378" s="71"/>
      <c r="M378" s="433"/>
      <c r="N378" s="135"/>
    </row>
    <row r="379" spans="1:14" ht="15.75" customHeight="1">
      <c r="A379" s="423"/>
      <c r="E379" s="84"/>
      <c r="G379" s="71"/>
      <c r="H379" s="135"/>
      <c r="J379" s="135"/>
      <c r="K379" s="135"/>
      <c r="L379" s="71"/>
      <c r="M379" s="433"/>
      <c r="N379" s="135"/>
    </row>
    <row r="380" spans="1:14" ht="15.75" customHeight="1">
      <c r="A380" s="423"/>
      <c r="E380" s="84"/>
      <c r="G380" s="71"/>
      <c r="H380" s="135"/>
      <c r="J380" s="135"/>
      <c r="K380" s="135"/>
      <c r="L380" s="71"/>
      <c r="M380" s="433"/>
      <c r="N380" s="135"/>
    </row>
    <row r="381" spans="1:14" ht="15.75" customHeight="1">
      <c r="A381" s="423"/>
      <c r="E381" s="84"/>
      <c r="G381" s="71"/>
      <c r="H381" s="135"/>
      <c r="J381" s="135"/>
      <c r="K381" s="135"/>
      <c r="L381" s="71"/>
      <c r="M381" s="433"/>
      <c r="N381" s="135"/>
    </row>
    <row r="382" spans="1:14" ht="15.75" customHeight="1">
      <c r="A382" s="423"/>
      <c r="E382" s="84"/>
      <c r="G382" s="71"/>
      <c r="H382" s="135"/>
      <c r="J382" s="135"/>
      <c r="K382" s="135"/>
      <c r="L382" s="71"/>
      <c r="M382" s="433"/>
      <c r="N382" s="135"/>
    </row>
    <row r="383" spans="1:14" ht="15.75" customHeight="1">
      <c r="A383" s="423"/>
      <c r="E383" s="84"/>
      <c r="G383" s="71"/>
      <c r="H383" s="135"/>
      <c r="J383" s="135"/>
      <c r="K383" s="135"/>
      <c r="L383" s="71"/>
      <c r="M383" s="433"/>
      <c r="N383" s="135"/>
    </row>
    <row r="384" spans="1:14" ht="15.75" customHeight="1">
      <c r="A384" s="423"/>
      <c r="E384" s="84"/>
      <c r="G384" s="71"/>
      <c r="H384" s="135"/>
      <c r="J384" s="135"/>
      <c r="K384" s="135"/>
      <c r="L384" s="71"/>
      <c r="M384" s="433"/>
      <c r="N384" s="135"/>
    </row>
    <row r="385" spans="1:14" ht="15.75" customHeight="1">
      <c r="A385" s="423"/>
      <c r="E385" s="84"/>
      <c r="G385" s="71"/>
      <c r="H385" s="135"/>
      <c r="J385" s="135"/>
      <c r="K385" s="135"/>
      <c r="L385" s="71"/>
      <c r="M385" s="433"/>
      <c r="N385" s="135"/>
    </row>
    <row r="386" spans="1:14" ht="15.75" customHeight="1">
      <c r="A386" s="423"/>
      <c r="E386" s="84"/>
      <c r="G386" s="71"/>
      <c r="H386" s="135"/>
      <c r="J386" s="135"/>
      <c r="K386" s="135"/>
      <c r="L386" s="71"/>
      <c r="M386" s="433"/>
      <c r="N386" s="135"/>
    </row>
    <row r="387" spans="1:14" ht="15.75" customHeight="1">
      <c r="A387" s="423"/>
      <c r="E387" s="84"/>
      <c r="G387" s="71"/>
      <c r="H387" s="135"/>
      <c r="J387" s="135"/>
      <c r="K387" s="135"/>
      <c r="L387" s="71"/>
      <c r="M387" s="433"/>
      <c r="N387" s="135"/>
    </row>
    <row r="388" spans="1:14" ht="15.75" customHeight="1">
      <c r="A388" s="423"/>
      <c r="E388" s="84"/>
      <c r="G388" s="71"/>
      <c r="H388" s="135"/>
      <c r="J388" s="135"/>
      <c r="K388" s="135"/>
      <c r="L388" s="71"/>
      <c r="M388" s="433"/>
      <c r="N388" s="135"/>
    </row>
    <row r="389" spans="1:14" ht="15.75" customHeight="1">
      <c r="A389" s="423"/>
      <c r="E389" s="84"/>
      <c r="G389" s="71"/>
      <c r="H389" s="135"/>
      <c r="J389" s="135"/>
      <c r="K389" s="135"/>
      <c r="L389" s="71"/>
      <c r="M389" s="433"/>
      <c r="N389" s="135"/>
    </row>
    <row r="390" spans="1:14" ht="15.75" customHeight="1">
      <c r="A390" s="423"/>
      <c r="E390" s="84"/>
      <c r="G390" s="71"/>
      <c r="H390" s="135"/>
      <c r="J390" s="135"/>
      <c r="K390" s="135"/>
      <c r="L390" s="71"/>
      <c r="M390" s="433"/>
      <c r="N390" s="135"/>
    </row>
    <row r="391" spans="1:14" ht="15.75" customHeight="1">
      <c r="A391" s="423"/>
      <c r="E391" s="84"/>
      <c r="G391" s="71"/>
      <c r="H391" s="135"/>
      <c r="J391" s="135"/>
      <c r="K391" s="135"/>
      <c r="L391" s="71"/>
      <c r="M391" s="433"/>
      <c r="N391" s="135"/>
    </row>
    <row r="392" spans="1:14" ht="15.75" customHeight="1">
      <c r="A392" s="423"/>
      <c r="E392" s="84"/>
      <c r="G392" s="71"/>
      <c r="H392" s="135"/>
      <c r="J392" s="135"/>
      <c r="K392" s="135"/>
      <c r="L392" s="71"/>
      <c r="M392" s="433"/>
      <c r="N392" s="135"/>
    </row>
    <row r="393" spans="1:14" ht="15.75" customHeight="1">
      <c r="A393" s="423"/>
      <c r="E393" s="84"/>
      <c r="G393" s="71"/>
      <c r="H393" s="135"/>
      <c r="J393" s="135"/>
      <c r="K393" s="135"/>
      <c r="L393" s="71"/>
      <c r="M393" s="433"/>
      <c r="N393" s="135"/>
    </row>
    <row r="394" spans="1:14" ht="15.75" customHeight="1">
      <c r="A394" s="423"/>
      <c r="E394" s="84"/>
      <c r="G394" s="71"/>
      <c r="H394" s="135"/>
      <c r="J394" s="135"/>
      <c r="K394" s="135"/>
      <c r="L394" s="71"/>
      <c r="M394" s="433"/>
      <c r="N394" s="135"/>
    </row>
    <row r="395" spans="1:14" ht="15.75" customHeight="1">
      <c r="A395" s="423"/>
      <c r="E395" s="84"/>
      <c r="G395" s="71"/>
      <c r="H395" s="135"/>
      <c r="J395" s="135"/>
      <c r="K395" s="135"/>
      <c r="L395" s="71"/>
      <c r="M395" s="433"/>
      <c r="N395" s="135"/>
    </row>
    <row r="396" spans="1:14" ht="15.75" customHeight="1">
      <c r="A396" s="423"/>
      <c r="E396" s="84"/>
      <c r="G396" s="71"/>
      <c r="H396" s="135"/>
      <c r="J396" s="135"/>
      <c r="K396" s="135"/>
      <c r="L396" s="71"/>
      <c r="M396" s="433"/>
      <c r="N396" s="135"/>
    </row>
    <row r="397" spans="1:14" ht="15.75" customHeight="1">
      <c r="A397" s="423"/>
      <c r="E397" s="84"/>
      <c r="G397" s="71"/>
      <c r="H397" s="135"/>
      <c r="J397" s="135"/>
      <c r="K397" s="135"/>
      <c r="L397" s="71"/>
      <c r="M397" s="433"/>
      <c r="N397" s="135"/>
    </row>
    <row r="398" spans="1:14" ht="15.75" customHeight="1">
      <c r="A398" s="423"/>
      <c r="E398" s="84"/>
      <c r="G398" s="71"/>
      <c r="H398" s="135"/>
      <c r="J398" s="135"/>
      <c r="K398" s="135"/>
      <c r="L398" s="71"/>
      <c r="M398" s="433"/>
      <c r="N398" s="135"/>
    </row>
    <row r="399" spans="1:14" ht="15.75" customHeight="1">
      <c r="A399" s="423"/>
      <c r="E399" s="84"/>
      <c r="G399" s="71"/>
      <c r="H399" s="135"/>
      <c r="J399" s="135"/>
      <c r="K399" s="135"/>
      <c r="L399" s="71"/>
      <c r="M399" s="433"/>
      <c r="N399" s="135"/>
    </row>
    <row r="400" spans="1:14" ht="15.75" customHeight="1">
      <c r="A400" s="423"/>
      <c r="E400" s="84"/>
      <c r="G400" s="71"/>
      <c r="H400" s="135"/>
      <c r="J400" s="135"/>
      <c r="K400" s="135"/>
      <c r="L400" s="71"/>
      <c r="M400" s="433"/>
      <c r="N400" s="135"/>
    </row>
    <row r="401" spans="1:14" ht="15.75" customHeight="1">
      <c r="A401" s="423"/>
      <c r="E401" s="84"/>
      <c r="G401" s="71"/>
      <c r="H401" s="135"/>
      <c r="J401" s="135"/>
      <c r="K401" s="135"/>
      <c r="L401" s="71"/>
      <c r="M401" s="433"/>
      <c r="N401" s="135"/>
    </row>
    <row r="402" spans="1:14" ht="15.75" customHeight="1">
      <c r="A402" s="423"/>
      <c r="E402" s="84"/>
      <c r="G402" s="71"/>
      <c r="H402" s="135"/>
      <c r="J402" s="135"/>
      <c r="K402" s="135"/>
      <c r="L402" s="71"/>
      <c r="M402" s="433"/>
      <c r="N402" s="135"/>
    </row>
    <row r="403" spans="1:14" ht="15.75" customHeight="1">
      <c r="A403" s="423"/>
      <c r="E403" s="84"/>
      <c r="G403" s="71"/>
      <c r="H403" s="135"/>
      <c r="J403" s="135"/>
      <c r="K403" s="135"/>
      <c r="L403" s="71"/>
      <c r="M403" s="433"/>
      <c r="N403" s="135"/>
    </row>
    <row r="404" spans="1:14" ht="15.75" customHeight="1">
      <c r="A404" s="423"/>
      <c r="E404" s="84"/>
      <c r="G404" s="71"/>
      <c r="H404" s="135"/>
      <c r="J404" s="135"/>
      <c r="K404" s="135"/>
      <c r="L404" s="71"/>
      <c r="M404" s="433"/>
      <c r="N404" s="135"/>
    </row>
    <row r="405" spans="1:14" ht="15.75" customHeight="1">
      <c r="A405" s="423"/>
      <c r="E405" s="84"/>
      <c r="G405" s="71"/>
      <c r="H405" s="135"/>
      <c r="J405" s="135"/>
      <c r="K405" s="135"/>
      <c r="L405" s="71"/>
      <c r="M405" s="433"/>
      <c r="N405" s="135"/>
    </row>
    <row r="406" spans="1:14" ht="15.75" customHeight="1">
      <c r="A406" s="423"/>
      <c r="E406" s="84"/>
      <c r="G406" s="71"/>
      <c r="H406" s="135"/>
      <c r="J406" s="135"/>
      <c r="K406" s="135"/>
      <c r="L406" s="71"/>
      <c r="M406" s="433"/>
      <c r="N406" s="135"/>
    </row>
    <row r="407" spans="1:14" ht="15.75" customHeight="1">
      <c r="A407" s="423"/>
      <c r="E407" s="84"/>
      <c r="G407" s="71"/>
      <c r="H407" s="135"/>
      <c r="J407" s="135"/>
      <c r="K407" s="135"/>
      <c r="L407" s="71"/>
      <c r="M407" s="433"/>
      <c r="N407" s="135"/>
    </row>
    <row r="408" spans="1:14" ht="15.75" customHeight="1">
      <c r="A408" s="423"/>
      <c r="E408" s="84"/>
      <c r="G408" s="71"/>
      <c r="H408" s="135"/>
      <c r="J408" s="135"/>
      <c r="K408" s="135"/>
      <c r="L408" s="71"/>
      <c r="M408" s="433"/>
      <c r="N408" s="135"/>
    </row>
    <row r="409" spans="1:14" ht="15.75" customHeight="1">
      <c r="A409" s="423"/>
      <c r="E409" s="84"/>
      <c r="G409" s="71"/>
      <c r="H409" s="135"/>
      <c r="J409" s="135"/>
      <c r="K409" s="135"/>
      <c r="L409" s="71"/>
      <c r="M409" s="433"/>
      <c r="N409" s="135"/>
    </row>
    <row r="410" spans="1:14" ht="15.75" customHeight="1">
      <c r="A410" s="423"/>
      <c r="E410" s="84"/>
      <c r="G410" s="71"/>
      <c r="H410" s="135"/>
      <c r="J410" s="135"/>
      <c r="K410" s="135"/>
      <c r="L410" s="71"/>
      <c r="M410" s="433"/>
      <c r="N410" s="135"/>
    </row>
    <row r="411" spans="1:14" ht="15.75" customHeight="1">
      <c r="A411" s="423"/>
      <c r="E411" s="84"/>
      <c r="G411" s="71"/>
      <c r="H411" s="135"/>
      <c r="J411" s="135"/>
      <c r="K411" s="135"/>
      <c r="L411" s="71"/>
      <c r="M411" s="433"/>
      <c r="N411" s="135"/>
    </row>
    <row r="412" spans="1:14" ht="15.75" customHeight="1">
      <c r="A412" s="423"/>
      <c r="E412" s="84"/>
      <c r="G412" s="71"/>
      <c r="H412" s="135"/>
      <c r="J412" s="135"/>
      <c r="K412" s="135"/>
      <c r="L412" s="71"/>
      <c r="M412" s="433"/>
      <c r="N412" s="135"/>
    </row>
    <row r="413" spans="1:14" ht="15.75" customHeight="1">
      <c r="A413" s="423"/>
      <c r="E413" s="84"/>
      <c r="G413" s="71"/>
      <c r="H413" s="135"/>
      <c r="J413" s="135"/>
      <c r="K413" s="135"/>
      <c r="L413" s="71"/>
      <c r="M413" s="433"/>
      <c r="N413" s="135"/>
    </row>
    <row r="414" spans="1:14" ht="15.75" customHeight="1">
      <c r="A414" s="423"/>
      <c r="E414" s="84"/>
      <c r="G414" s="71"/>
      <c r="H414" s="135"/>
      <c r="J414" s="135"/>
      <c r="K414" s="135"/>
      <c r="L414" s="71"/>
      <c r="M414" s="433"/>
      <c r="N414" s="135"/>
    </row>
    <row r="415" spans="1:14" ht="15.75" customHeight="1">
      <c r="A415" s="423"/>
      <c r="E415" s="84"/>
      <c r="G415" s="71"/>
      <c r="H415" s="135"/>
      <c r="J415" s="135"/>
      <c r="K415" s="135"/>
      <c r="L415" s="71"/>
      <c r="M415" s="433"/>
      <c r="N415" s="135"/>
    </row>
    <row r="416" spans="1:14" ht="15.75" customHeight="1">
      <c r="A416" s="423"/>
      <c r="E416" s="84"/>
      <c r="G416" s="71"/>
      <c r="H416" s="135"/>
      <c r="J416" s="135"/>
      <c r="K416" s="135"/>
      <c r="L416" s="71"/>
      <c r="M416" s="433"/>
      <c r="N416" s="135"/>
    </row>
    <row r="417" spans="1:14" ht="15.75" customHeight="1">
      <c r="A417" s="423"/>
      <c r="E417" s="84"/>
      <c r="G417" s="71"/>
      <c r="H417" s="135"/>
      <c r="J417" s="135"/>
      <c r="K417" s="135"/>
      <c r="L417" s="71"/>
      <c r="M417" s="433"/>
      <c r="N417" s="135"/>
    </row>
    <row r="418" spans="1:14" ht="15.75" customHeight="1">
      <c r="A418" s="423"/>
      <c r="E418" s="84"/>
      <c r="G418" s="71"/>
      <c r="H418" s="135"/>
      <c r="J418" s="135"/>
      <c r="K418" s="135"/>
      <c r="L418" s="71"/>
      <c r="M418" s="433"/>
      <c r="N418" s="135"/>
    </row>
    <row r="419" spans="1:14" ht="15.75" customHeight="1">
      <c r="A419" s="423"/>
      <c r="E419" s="84"/>
      <c r="G419" s="71"/>
      <c r="H419" s="135"/>
      <c r="J419" s="135"/>
      <c r="K419" s="135"/>
      <c r="L419" s="71"/>
      <c r="M419" s="433"/>
      <c r="N419" s="135"/>
    </row>
    <row r="420" spans="1:14" ht="15.75" customHeight="1">
      <c r="A420" s="423"/>
      <c r="E420" s="84"/>
      <c r="G420" s="71"/>
      <c r="H420" s="135"/>
      <c r="J420" s="135"/>
      <c r="K420" s="135"/>
      <c r="L420" s="71"/>
      <c r="M420" s="433"/>
      <c r="N420" s="135"/>
    </row>
    <row r="421" spans="1:14" ht="15.75" customHeight="1">
      <c r="A421" s="423"/>
      <c r="E421" s="84"/>
      <c r="G421" s="71"/>
      <c r="H421" s="135"/>
      <c r="J421" s="135"/>
      <c r="K421" s="135"/>
      <c r="L421" s="71"/>
      <c r="M421" s="433"/>
      <c r="N421" s="135"/>
    </row>
    <row r="422" spans="1:14" ht="15.75" customHeight="1">
      <c r="A422" s="423"/>
      <c r="E422" s="84"/>
      <c r="G422" s="71"/>
      <c r="H422" s="135"/>
      <c r="J422" s="135"/>
      <c r="K422" s="135"/>
      <c r="L422" s="71"/>
      <c r="M422" s="433"/>
      <c r="N422" s="135"/>
    </row>
    <row r="423" spans="1:14" ht="15.75" customHeight="1">
      <c r="A423" s="423"/>
      <c r="E423" s="84"/>
      <c r="G423" s="71"/>
      <c r="H423" s="135"/>
      <c r="J423" s="135"/>
      <c r="K423" s="135"/>
      <c r="L423" s="71"/>
      <c r="M423" s="433"/>
      <c r="N423" s="135"/>
    </row>
    <row r="424" spans="1:14" ht="15.75" customHeight="1">
      <c r="A424" s="423"/>
      <c r="E424" s="84"/>
      <c r="G424" s="71"/>
      <c r="H424" s="135"/>
      <c r="J424" s="135"/>
      <c r="K424" s="135"/>
      <c r="L424" s="71"/>
      <c r="M424" s="433"/>
      <c r="N424" s="135"/>
    </row>
    <row r="425" spans="1:14" ht="15.75" customHeight="1">
      <c r="A425" s="423"/>
      <c r="E425" s="84"/>
      <c r="G425" s="71"/>
      <c r="H425" s="135"/>
      <c r="J425" s="135"/>
      <c r="K425" s="135"/>
      <c r="L425" s="71"/>
      <c r="M425" s="433"/>
      <c r="N425" s="135"/>
    </row>
    <row r="426" spans="1:14" ht="15.75" customHeight="1">
      <c r="A426" s="423"/>
      <c r="E426" s="84"/>
      <c r="G426" s="71"/>
      <c r="H426" s="135"/>
      <c r="J426" s="135"/>
      <c r="K426" s="135"/>
      <c r="L426" s="71"/>
      <c r="M426" s="433"/>
      <c r="N426" s="135"/>
    </row>
    <row r="427" spans="1:14" ht="15.75" customHeight="1">
      <c r="A427" s="423"/>
      <c r="E427" s="84"/>
      <c r="G427" s="71"/>
      <c r="H427" s="135"/>
      <c r="J427" s="135"/>
      <c r="K427" s="135"/>
      <c r="L427" s="71"/>
      <c r="M427" s="433"/>
      <c r="N427" s="135"/>
    </row>
    <row r="428" spans="1:14" ht="15.75" customHeight="1">
      <c r="A428" s="423"/>
      <c r="E428" s="84"/>
      <c r="G428" s="71"/>
      <c r="H428" s="135"/>
      <c r="J428" s="135"/>
      <c r="K428" s="135"/>
      <c r="L428" s="71"/>
      <c r="M428" s="433"/>
      <c r="N428" s="135"/>
    </row>
    <row r="429" spans="1:14" ht="15.75" customHeight="1">
      <c r="A429" s="423"/>
      <c r="E429" s="84"/>
      <c r="G429" s="71"/>
      <c r="H429" s="135"/>
      <c r="J429" s="135"/>
      <c r="K429" s="135"/>
      <c r="L429" s="71"/>
      <c r="M429" s="433"/>
      <c r="N429" s="135"/>
    </row>
    <row r="430" spans="1:14" ht="15.75" customHeight="1">
      <c r="A430" s="423"/>
      <c r="E430" s="84"/>
      <c r="G430" s="71"/>
      <c r="H430" s="135"/>
      <c r="J430" s="135"/>
      <c r="K430" s="135"/>
      <c r="L430" s="71"/>
      <c r="M430" s="433"/>
      <c r="N430" s="135"/>
    </row>
    <row r="431" spans="1:14" ht="15.75" customHeight="1">
      <c r="A431" s="423"/>
      <c r="E431" s="84"/>
      <c r="G431" s="71"/>
      <c r="H431" s="135"/>
      <c r="J431" s="135"/>
      <c r="K431" s="135"/>
      <c r="L431" s="71"/>
      <c r="M431" s="433"/>
      <c r="N431" s="135"/>
    </row>
    <row r="432" spans="1:14" ht="15.75" customHeight="1">
      <c r="A432" s="423"/>
      <c r="E432" s="84"/>
      <c r="G432" s="71"/>
      <c r="H432" s="135"/>
      <c r="J432" s="135"/>
      <c r="K432" s="135"/>
      <c r="L432" s="71"/>
      <c r="M432" s="433"/>
      <c r="N432" s="135"/>
    </row>
    <row r="433" spans="1:14" ht="15.75" customHeight="1">
      <c r="A433" s="423"/>
      <c r="E433" s="84"/>
      <c r="G433" s="71"/>
      <c r="H433" s="135"/>
      <c r="J433" s="135"/>
      <c r="K433" s="135"/>
      <c r="L433" s="71"/>
      <c r="M433" s="433"/>
      <c r="N433" s="135"/>
    </row>
    <row r="434" spans="1:14" ht="15.75" customHeight="1">
      <c r="A434" s="423"/>
      <c r="E434" s="84"/>
      <c r="G434" s="71"/>
      <c r="H434" s="135"/>
      <c r="J434" s="135"/>
      <c r="K434" s="135"/>
      <c r="L434" s="71"/>
      <c r="M434" s="433"/>
      <c r="N434" s="135"/>
    </row>
    <row r="435" spans="1:14" ht="15.75" customHeight="1">
      <c r="A435" s="423"/>
      <c r="E435" s="84"/>
      <c r="G435" s="71"/>
      <c r="H435" s="135"/>
      <c r="J435" s="135"/>
      <c r="K435" s="135"/>
      <c r="L435" s="71"/>
      <c r="M435" s="433"/>
      <c r="N435" s="135"/>
    </row>
    <row r="436" spans="1:14" ht="15.75" customHeight="1">
      <c r="A436" s="423"/>
      <c r="E436" s="84"/>
      <c r="G436" s="71"/>
      <c r="H436" s="135"/>
      <c r="J436" s="135"/>
      <c r="K436" s="135"/>
      <c r="L436" s="71"/>
      <c r="M436" s="433"/>
      <c r="N436" s="135"/>
    </row>
    <row r="437" spans="1:14" ht="15.75" customHeight="1">
      <c r="A437" s="423"/>
      <c r="E437" s="84"/>
      <c r="G437" s="71"/>
      <c r="H437" s="135"/>
      <c r="J437" s="135"/>
      <c r="K437" s="135"/>
      <c r="L437" s="71"/>
      <c r="M437" s="433"/>
      <c r="N437" s="135"/>
    </row>
    <row r="438" spans="1:14" ht="15.75" customHeight="1">
      <c r="A438" s="423"/>
      <c r="E438" s="84"/>
      <c r="G438" s="71"/>
      <c r="H438" s="135"/>
      <c r="J438" s="135"/>
      <c r="K438" s="135"/>
      <c r="L438" s="71"/>
      <c r="M438" s="433"/>
      <c r="N438" s="135"/>
    </row>
    <row r="439" spans="1:14" ht="15.75" customHeight="1">
      <c r="A439" s="423"/>
      <c r="E439" s="84"/>
      <c r="G439" s="71"/>
      <c r="H439" s="135"/>
      <c r="J439" s="135"/>
      <c r="K439" s="135"/>
      <c r="L439" s="71"/>
      <c r="M439" s="433"/>
      <c r="N439" s="135"/>
    </row>
    <row r="440" spans="1:14" ht="15.75" customHeight="1">
      <c r="A440" s="423"/>
      <c r="E440" s="84"/>
      <c r="G440" s="71"/>
      <c r="H440" s="135"/>
      <c r="J440" s="135"/>
      <c r="K440" s="135"/>
      <c r="L440" s="71"/>
      <c r="M440" s="433"/>
      <c r="N440" s="135"/>
    </row>
    <row r="441" spans="1:14" ht="15.75" customHeight="1">
      <c r="A441" s="423"/>
      <c r="E441" s="84"/>
      <c r="G441" s="71"/>
      <c r="H441" s="135"/>
      <c r="J441" s="135"/>
      <c r="K441" s="135"/>
      <c r="L441" s="71"/>
      <c r="M441" s="433"/>
      <c r="N441" s="135"/>
    </row>
    <row r="442" spans="1:14" ht="15.75" customHeight="1">
      <c r="A442" s="423"/>
      <c r="E442" s="84"/>
      <c r="G442" s="71"/>
      <c r="H442" s="135"/>
      <c r="J442" s="135"/>
      <c r="K442" s="135"/>
      <c r="L442" s="71"/>
      <c r="M442" s="433"/>
      <c r="N442" s="135"/>
    </row>
    <row r="443" spans="1:14" ht="15.75" customHeight="1">
      <c r="A443" s="423"/>
      <c r="E443" s="84"/>
      <c r="G443" s="71"/>
      <c r="H443" s="135"/>
      <c r="J443" s="135"/>
      <c r="K443" s="135"/>
      <c r="L443" s="71"/>
      <c r="M443" s="433"/>
      <c r="N443" s="135"/>
    </row>
    <row r="444" spans="1:14" ht="15.75" customHeight="1">
      <c r="A444" s="423"/>
      <c r="E444" s="84"/>
      <c r="G444" s="71"/>
      <c r="H444" s="135"/>
      <c r="J444" s="135"/>
      <c r="K444" s="135"/>
      <c r="L444" s="71"/>
      <c r="M444" s="433"/>
      <c r="N444" s="135"/>
    </row>
    <row r="445" spans="1:14" ht="15.75" customHeight="1">
      <c r="A445" s="423"/>
      <c r="E445" s="84"/>
      <c r="G445" s="71"/>
      <c r="H445" s="135"/>
      <c r="J445" s="135"/>
      <c r="K445" s="135"/>
      <c r="L445" s="71"/>
      <c r="M445" s="433"/>
      <c r="N445" s="135"/>
    </row>
    <row r="446" spans="1:14" ht="15.75" customHeight="1">
      <c r="A446" s="423"/>
      <c r="E446" s="84"/>
      <c r="G446" s="71"/>
      <c r="H446" s="135"/>
      <c r="J446" s="135"/>
      <c r="K446" s="135"/>
      <c r="L446" s="71"/>
      <c r="M446" s="433"/>
      <c r="N446" s="135"/>
    </row>
    <row r="447" spans="1:14" ht="15.75" customHeight="1">
      <c r="A447" s="423"/>
      <c r="E447" s="84"/>
      <c r="G447" s="71"/>
      <c r="H447" s="135"/>
      <c r="J447" s="135"/>
      <c r="K447" s="135"/>
      <c r="L447" s="71"/>
      <c r="M447" s="433"/>
      <c r="N447" s="135"/>
    </row>
    <row r="448" spans="1:14" ht="15.75" customHeight="1">
      <c r="A448" s="423"/>
      <c r="E448" s="84"/>
      <c r="G448" s="71"/>
      <c r="H448" s="135"/>
      <c r="J448" s="135"/>
      <c r="K448" s="135"/>
      <c r="L448" s="71"/>
      <c r="M448" s="433"/>
      <c r="N448" s="135"/>
    </row>
    <row r="449" spans="1:14" ht="15.75" customHeight="1">
      <c r="A449" s="423"/>
      <c r="E449" s="84"/>
      <c r="G449" s="71"/>
      <c r="H449" s="135"/>
      <c r="J449" s="135"/>
      <c r="K449" s="135"/>
      <c r="L449" s="434"/>
      <c r="M449" s="435"/>
      <c r="N449" s="135"/>
    </row>
    <row r="450" spans="1:14" ht="15.75" customHeight="1">
      <c r="A450" s="423"/>
      <c r="E450" s="84"/>
      <c r="G450" s="71"/>
      <c r="H450" s="135"/>
      <c r="J450" s="135"/>
      <c r="K450" s="135"/>
      <c r="L450" s="434"/>
      <c r="M450" s="435"/>
      <c r="N450" s="135"/>
    </row>
    <row r="451" spans="1:14" ht="15.75" customHeight="1">
      <c r="A451" s="423"/>
      <c r="E451" s="84"/>
      <c r="G451" s="71"/>
      <c r="H451" s="135"/>
      <c r="J451" s="135"/>
      <c r="K451" s="135"/>
      <c r="L451" s="434"/>
      <c r="M451" s="435"/>
      <c r="N451" s="135"/>
    </row>
    <row r="452" spans="1:14" ht="15.75" customHeight="1">
      <c r="A452" s="423"/>
      <c r="E452" s="84"/>
      <c r="G452" s="71"/>
      <c r="H452" s="135"/>
      <c r="J452" s="135"/>
      <c r="K452" s="135"/>
      <c r="L452" s="434"/>
      <c r="M452" s="435"/>
      <c r="N452" s="135"/>
    </row>
    <row r="453" spans="1:14" ht="15.75" customHeight="1">
      <c r="A453" s="423"/>
      <c r="E453" s="84"/>
      <c r="G453" s="71"/>
      <c r="H453" s="135"/>
      <c r="J453" s="135"/>
      <c r="K453" s="135"/>
      <c r="L453" s="434"/>
      <c r="M453" s="435"/>
      <c r="N453" s="135"/>
    </row>
    <row r="454" spans="1:14" ht="15.75" customHeight="1">
      <c r="A454" s="423"/>
      <c r="E454" s="84"/>
      <c r="G454" s="71"/>
      <c r="H454" s="135"/>
      <c r="J454" s="135"/>
      <c r="K454" s="135"/>
      <c r="L454" s="434"/>
      <c r="M454" s="435"/>
      <c r="N454" s="135"/>
    </row>
    <row r="455" spans="1:14" ht="15.75" customHeight="1">
      <c r="A455" s="423"/>
      <c r="E455" s="84"/>
      <c r="G455" s="71"/>
      <c r="H455" s="135"/>
      <c r="J455" s="135"/>
      <c r="K455" s="135"/>
      <c r="L455" s="434"/>
      <c r="M455" s="435"/>
      <c r="N455" s="135"/>
    </row>
    <row r="456" spans="1:14" ht="15.75" customHeight="1">
      <c r="A456" s="423"/>
      <c r="E456" s="84"/>
      <c r="G456" s="71"/>
      <c r="H456" s="135"/>
      <c r="J456" s="135"/>
      <c r="K456" s="135"/>
      <c r="L456" s="434"/>
      <c r="M456" s="435"/>
      <c r="N456" s="135"/>
    </row>
    <row r="457" spans="1:14" ht="15.75" customHeight="1">
      <c r="A457" s="423"/>
      <c r="E457" s="84"/>
      <c r="G457" s="71"/>
      <c r="H457" s="135"/>
      <c r="J457" s="135"/>
      <c r="K457" s="135"/>
      <c r="L457" s="434"/>
      <c r="M457" s="435"/>
      <c r="N457" s="135"/>
    </row>
    <row r="458" spans="1:14" ht="15.75" customHeight="1">
      <c r="A458" s="423"/>
      <c r="E458" s="84"/>
      <c r="G458" s="71"/>
      <c r="H458" s="135"/>
      <c r="J458" s="135"/>
      <c r="K458" s="135"/>
      <c r="L458" s="434"/>
      <c r="M458" s="435"/>
      <c r="N458" s="135"/>
    </row>
    <row r="459" spans="1:14" ht="15.75" customHeight="1">
      <c r="A459" s="423"/>
      <c r="E459" s="84"/>
      <c r="G459" s="71"/>
      <c r="H459" s="135"/>
      <c r="J459" s="135"/>
      <c r="K459" s="135"/>
      <c r="L459" s="434"/>
      <c r="M459" s="435"/>
      <c r="N459" s="135"/>
    </row>
    <row r="460" spans="1:14" ht="15.75" customHeight="1">
      <c r="A460" s="423"/>
      <c r="E460" s="84"/>
      <c r="G460" s="71"/>
      <c r="H460" s="135"/>
      <c r="J460" s="135"/>
      <c r="K460" s="135"/>
      <c r="L460" s="434"/>
      <c r="M460" s="435"/>
      <c r="N460" s="135"/>
    </row>
    <row r="461" spans="1:14" ht="15.75" customHeight="1">
      <c r="A461" s="423"/>
      <c r="E461" s="84"/>
      <c r="G461" s="71"/>
      <c r="H461" s="135"/>
      <c r="J461" s="135"/>
      <c r="K461" s="135"/>
      <c r="L461" s="434"/>
      <c r="M461" s="435"/>
      <c r="N461" s="135"/>
    </row>
    <row r="462" spans="1:14" ht="15.75" customHeight="1">
      <c r="A462" s="423"/>
      <c r="E462" s="84"/>
      <c r="G462" s="71"/>
      <c r="H462" s="135"/>
      <c r="J462" s="135"/>
      <c r="K462" s="135"/>
      <c r="L462" s="434"/>
      <c r="M462" s="435"/>
      <c r="N462" s="135"/>
    </row>
    <row r="463" spans="1:14" ht="15.75" customHeight="1">
      <c r="A463" s="423"/>
      <c r="E463" s="84"/>
      <c r="G463" s="71"/>
      <c r="H463" s="135"/>
      <c r="J463" s="135"/>
      <c r="K463" s="135"/>
      <c r="L463" s="434"/>
      <c r="M463" s="435"/>
      <c r="N463" s="135"/>
    </row>
    <row r="464" spans="1:14" ht="15.75" customHeight="1">
      <c r="A464" s="423"/>
      <c r="E464" s="84"/>
      <c r="G464" s="71"/>
      <c r="H464" s="135"/>
      <c r="J464" s="135"/>
      <c r="K464" s="135"/>
      <c r="L464" s="434"/>
      <c r="M464" s="435"/>
      <c r="N464" s="135"/>
    </row>
    <row r="465" spans="1:14" ht="15.75" customHeight="1">
      <c r="A465" s="423"/>
      <c r="E465" s="84"/>
      <c r="G465" s="71"/>
      <c r="H465" s="135"/>
      <c r="J465" s="135"/>
      <c r="K465" s="135"/>
      <c r="L465" s="434"/>
      <c r="M465" s="435"/>
      <c r="N465" s="135"/>
    </row>
    <row r="466" spans="1:14" ht="15.75" customHeight="1">
      <c r="A466" s="423"/>
      <c r="E466" s="84"/>
      <c r="G466" s="71"/>
      <c r="H466" s="135"/>
      <c r="J466" s="135"/>
      <c r="K466" s="135"/>
      <c r="L466" s="434"/>
      <c r="M466" s="435"/>
      <c r="N466" s="135"/>
    </row>
    <row r="467" spans="1:14" ht="15.75" customHeight="1">
      <c r="A467" s="423"/>
      <c r="E467" s="84"/>
      <c r="G467" s="71"/>
      <c r="H467" s="135"/>
      <c r="J467" s="135"/>
      <c r="K467" s="135"/>
      <c r="L467" s="434"/>
      <c r="M467" s="435"/>
      <c r="N467" s="135"/>
    </row>
    <row r="468" spans="1:14" ht="15.75" customHeight="1">
      <c r="A468" s="423"/>
      <c r="E468" s="84"/>
      <c r="G468" s="71"/>
      <c r="H468" s="135"/>
      <c r="J468" s="135"/>
      <c r="K468" s="135"/>
      <c r="L468" s="434"/>
      <c r="M468" s="435"/>
      <c r="N468" s="135"/>
    </row>
    <row r="469" spans="1:14" ht="15.75" customHeight="1">
      <c r="A469" s="423"/>
      <c r="E469" s="84"/>
      <c r="G469" s="71"/>
      <c r="H469" s="135"/>
      <c r="J469" s="135"/>
      <c r="K469" s="135"/>
      <c r="L469" s="434"/>
      <c r="M469" s="435"/>
      <c r="N469" s="135"/>
    </row>
    <row r="470" spans="1:14" ht="15.75" customHeight="1">
      <c r="A470" s="423"/>
      <c r="E470" s="84"/>
      <c r="G470" s="71"/>
      <c r="H470" s="135"/>
      <c r="J470" s="135"/>
      <c r="K470" s="135"/>
      <c r="L470" s="434"/>
      <c r="M470" s="435"/>
      <c r="N470" s="135"/>
    </row>
    <row r="471" spans="1:14" ht="15.75" customHeight="1">
      <c r="A471" s="423"/>
      <c r="E471" s="84"/>
      <c r="G471" s="71"/>
      <c r="H471" s="135"/>
      <c r="J471" s="135"/>
      <c r="K471" s="135"/>
      <c r="L471" s="434"/>
      <c r="M471" s="435"/>
      <c r="N471" s="135"/>
    </row>
    <row r="472" spans="1:14" ht="15.75" customHeight="1">
      <c r="A472" s="423"/>
      <c r="E472" s="84"/>
      <c r="G472" s="71"/>
      <c r="H472" s="135"/>
      <c r="J472" s="135"/>
      <c r="K472" s="135"/>
      <c r="L472" s="434"/>
      <c r="M472" s="435"/>
      <c r="N472" s="135"/>
    </row>
    <row r="473" spans="1:14" ht="15.75" customHeight="1">
      <c r="A473" s="423"/>
      <c r="E473" s="84"/>
      <c r="G473" s="71"/>
      <c r="H473" s="135"/>
      <c r="J473" s="135"/>
      <c r="K473" s="135"/>
      <c r="L473" s="434"/>
      <c r="M473" s="435"/>
      <c r="N473" s="135"/>
    </row>
    <row r="474" spans="1:14" ht="15.75" customHeight="1">
      <c r="A474" s="423"/>
      <c r="E474" s="84"/>
      <c r="G474" s="71"/>
      <c r="H474" s="135"/>
      <c r="J474" s="135"/>
      <c r="K474" s="135"/>
      <c r="L474" s="434"/>
      <c r="M474" s="435"/>
      <c r="N474" s="135"/>
    </row>
    <row r="475" spans="1:14" ht="15.75" customHeight="1">
      <c r="A475" s="423"/>
      <c r="E475" s="84"/>
      <c r="G475" s="71"/>
      <c r="H475" s="135"/>
      <c r="J475" s="135"/>
      <c r="K475" s="135"/>
      <c r="L475" s="434"/>
      <c r="M475" s="435"/>
      <c r="N475" s="135"/>
    </row>
    <row r="476" spans="1:14" ht="15.75" customHeight="1">
      <c r="A476" s="423"/>
      <c r="E476" s="84"/>
      <c r="G476" s="71"/>
      <c r="H476" s="135"/>
      <c r="J476" s="135"/>
      <c r="K476" s="135"/>
      <c r="L476" s="434"/>
      <c r="M476" s="435"/>
      <c r="N476" s="135"/>
    </row>
    <row r="477" spans="1:14" ht="15.75" customHeight="1">
      <c r="A477" s="423"/>
      <c r="E477" s="84"/>
      <c r="G477" s="71"/>
      <c r="H477" s="135"/>
      <c r="J477" s="135"/>
      <c r="K477" s="135"/>
      <c r="L477" s="434"/>
      <c r="M477" s="435"/>
      <c r="N477" s="135"/>
    </row>
    <row r="478" spans="1:14" ht="15.75" customHeight="1">
      <c r="A478" s="423"/>
      <c r="E478" s="84"/>
      <c r="G478" s="71"/>
      <c r="H478" s="135"/>
      <c r="J478" s="135"/>
      <c r="K478" s="135"/>
      <c r="L478" s="434"/>
      <c r="M478" s="435"/>
      <c r="N478" s="135"/>
    </row>
    <row r="479" spans="1:14" ht="15.75" customHeight="1">
      <c r="A479" s="423"/>
      <c r="E479" s="84"/>
      <c r="G479" s="71"/>
      <c r="H479" s="135"/>
      <c r="J479" s="135"/>
      <c r="K479" s="135"/>
      <c r="L479" s="434"/>
      <c r="M479" s="435"/>
      <c r="N479" s="135"/>
    </row>
    <row r="480" spans="1:14" ht="15.75" customHeight="1">
      <c r="A480" s="423"/>
      <c r="E480" s="84"/>
      <c r="G480" s="71"/>
      <c r="H480" s="135"/>
      <c r="J480" s="135"/>
      <c r="K480" s="135"/>
      <c r="L480" s="434"/>
      <c r="M480" s="435"/>
      <c r="N480" s="135"/>
    </row>
    <row r="481" spans="1:14" ht="15.75" customHeight="1">
      <c r="A481" s="423"/>
      <c r="E481" s="84"/>
      <c r="G481" s="71"/>
      <c r="H481" s="135"/>
      <c r="J481" s="135"/>
      <c r="K481" s="135"/>
      <c r="L481" s="434"/>
      <c r="M481" s="435"/>
      <c r="N481" s="135"/>
    </row>
    <row r="482" spans="1:14" ht="15.75" customHeight="1">
      <c r="A482" s="423"/>
      <c r="E482" s="84"/>
      <c r="G482" s="71"/>
      <c r="H482" s="135"/>
      <c r="J482" s="135"/>
      <c r="K482" s="135"/>
      <c r="L482" s="434"/>
      <c r="M482" s="435"/>
      <c r="N482" s="135"/>
    </row>
    <row r="483" spans="1:14" ht="15.75" customHeight="1">
      <c r="A483" s="423"/>
      <c r="E483" s="84"/>
      <c r="G483" s="71"/>
      <c r="H483" s="135"/>
      <c r="J483" s="135"/>
      <c r="K483" s="135"/>
      <c r="L483" s="434"/>
      <c r="M483" s="435"/>
      <c r="N483" s="135"/>
    </row>
    <row r="484" spans="1:14" ht="15.75" customHeight="1">
      <c r="A484" s="423"/>
      <c r="E484" s="84"/>
      <c r="G484" s="71"/>
      <c r="H484" s="135"/>
      <c r="J484" s="135"/>
      <c r="K484" s="135"/>
      <c r="L484" s="434"/>
      <c r="M484" s="435"/>
      <c r="N484" s="135"/>
    </row>
    <row r="485" spans="1:14" ht="15.75" customHeight="1">
      <c r="A485" s="423"/>
      <c r="E485" s="84"/>
      <c r="G485" s="71"/>
      <c r="H485" s="135"/>
      <c r="J485" s="135"/>
      <c r="K485" s="135"/>
      <c r="L485" s="434"/>
      <c r="M485" s="435"/>
      <c r="N485" s="135"/>
    </row>
    <row r="486" spans="1:14" ht="15.75" customHeight="1">
      <c r="A486" s="423"/>
      <c r="E486" s="84"/>
      <c r="G486" s="71"/>
      <c r="H486" s="135"/>
      <c r="J486" s="135"/>
      <c r="K486" s="135"/>
      <c r="L486" s="434"/>
      <c r="M486" s="435"/>
      <c r="N486" s="135"/>
    </row>
    <row r="487" spans="1:14" ht="15.75" customHeight="1">
      <c r="A487" s="423"/>
      <c r="E487" s="84"/>
      <c r="G487" s="71"/>
      <c r="H487" s="135"/>
      <c r="J487" s="135"/>
      <c r="K487" s="135"/>
      <c r="L487" s="434"/>
      <c r="M487" s="435"/>
      <c r="N487" s="135"/>
    </row>
    <row r="488" spans="1:14" ht="15.75" customHeight="1">
      <c r="A488" s="423"/>
      <c r="E488" s="84"/>
      <c r="G488" s="71"/>
      <c r="H488" s="135"/>
      <c r="J488" s="135"/>
      <c r="K488" s="135"/>
      <c r="L488" s="434"/>
      <c r="M488" s="435"/>
      <c r="N488" s="135"/>
    </row>
    <row r="489" spans="1:14" ht="15.75" customHeight="1">
      <c r="A489" s="423"/>
      <c r="E489" s="84"/>
      <c r="G489" s="71"/>
      <c r="H489" s="135"/>
      <c r="J489" s="135"/>
      <c r="K489" s="135"/>
      <c r="L489" s="434"/>
      <c r="M489" s="435"/>
      <c r="N489" s="135"/>
    </row>
    <row r="490" spans="1:14" ht="15.75" customHeight="1">
      <c r="A490" s="423"/>
      <c r="E490" s="84"/>
      <c r="G490" s="71"/>
      <c r="H490" s="135"/>
      <c r="J490" s="135"/>
      <c r="K490" s="135"/>
      <c r="L490" s="434"/>
      <c r="M490" s="435"/>
      <c r="N490" s="135"/>
    </row>
    <row r="491" spans="1:14" ht="15.75" customHeight="1">
      <c r="A491" s="423"/>
      <c r="E491" s="84"/>
      <c r="G491" s="71"/>
      <c r="H491" s="135"/>
      <c r="J491" s="135"/>
      <c r="K491" s="135"/>
      <c r="L491" s="434"/>
      <c r="M491" s="435"/>
      <c r="N491" s="135"/>
    </row>
    <row r="492" spans="1:14" ht="15.75" customHeight="1">
      <c r="A492" s="423"/>
      <c r="E492" s="84"/>
      <c r="G492" s="71"/>
      <c r="H492" s="135"/>
      <c r="J492" s="135"/>
      <c r="K492" s="135"/>
      <c r="L492" s="434"/>
      <c r="M492" s="435"/>
      <c r="N492" s="135"/>
    </row>
    <row r="493" spans="1:14" ht="15.75" customHeight="1">
      <c r="A493" s="423"/>
      <c r="E493" s="84"/>
      <c r="G493" s="71"/>
      <c r="H493" s="135"/>
      <c r="J493" s="135"/>
      <c r="K493" s="135"/>
      <c r="L493" s="434"/>
      <c r="M493" s="435"/>
      <c r="N493" s="135"/>
    </row>
    <row r="494" spans="1:14" ht="15.75" customHeight="1">
      <c r="A494" s="423"/>
      <c r="E494" s="84"/>
      <c r="G494" s="71"/>
      <c r="H494" s="135"/>
      <c r="J494" s="135"/>
      <c r="K494" s="135"/>
      <c r="L494" s="434"/>
      <c r="M494" s="435"/>
      <c r="N494" s="135"/>
    </row>
    <row r="495" spans="1:14" ht="15.75" customHeight="1">
      <c r="A495" s="423"/>
      <c r="E495" s="84"/>
      <c r="G495" s="71"/>
      <c r="H495" s="135"/>
      <c r="J495" s="135"/>
      <c r="K495" s="135"/>
      <c r="L495" s="434"/>
      <c r="M495" s="435"/>
      <c r="N495" s="135"/>
    </row>
    <row r="496" spans="1:14" ht="15.75" customHeight="1">
      <c r="A496" s="423"/>
      <c r="E496" s="84"/>
      <c r="G496" s="71"/>
      <c r="H496" s="135"/>
      <c r="J496" s="135"/>
      <c r="K496" s="135"/>
      <c r="L496" s="434"/>
      <c r="M496" s="435"/>
      <c r="N496" s="135"/>
    </row>
    <row r="497" spans="1:14" ht="15.75" customHeight="1">
      <c r="A497" s="423"/>
      <c r="E497" s="84"/>
      <c r="G497" s="71"/>
      <c r="H497" s="135"/>
      <c r="J497" s="135"/>
      <c r="K497" s="135"/>
      <c r="L497" s="434"/>
      <c r="M497" s="435"/>
      <c r="N497" s="135"/>
    </row>
    <row r="498" spans="1:14" ht="15.75" customHeight="1">
      <c r="A498" s="423"/>
      <c r="E498" s="84"/>
      <c r="G498" s="71"/>
      <c r="H498" s="135"/>
      <c r="J498" s="135"/>
      <c r="K498" s="135"/>
      <c r="L498" s="434"/>
      <c r="M498" s="435"/>
      <c r="N498" s="135"/>
    </row>
    <row r="499" spans="1:14" ht="15.75" customHeight="1">
      <c r="A499" s="423"/>
      <c r="E499" s="84"/>
      <c r="G499" s="71"/>
      <c r="H499" s="135"/>
      <c r="J499" s="135"/>
      <c r="K499" s="135"/>
      <c r="L499" s="434"/>
      <c r="M499" s="435"/>
      <c r="N499" s="135"/>
    </row>
    <row r="500" spans="1:14" ht="15.75" customHeight="1">
      <c r="A500" s="423"/>
      <c r="E500" s="84"/>
      <c r="G500" s="71"/>
      <c r="H500" s="135"/>
      <c r="J500" s="135"/>
      <c r="K500" s="135"/>
      <c r="L500" s="434"/>
      <c r="M500" s="435"/>
      <c r="N500" s="135"/>
    </row>
    <row r="501" spans="1:14" ht="15.75" customHeight="1">
      <c r="A501" s="423"/>
      <c r="E501" s="84"/>
      <c r="G501" s="71"/>
      <c r="H501" s="135"/>
      <c r="J501" s="135"/>
      <c r="K501" s="135"/>
      <c r="L501" s="434"/>
      <c r="M501" s="435"/>
      <c r="N501" s="135"/>
    </row>
    <row r="502" spans="1:14" ht="15.75" customHeight="1">
      <c r="A502" s="423"/>
      <c r="E502" s="84"/>
      <c r="G502" s="71"/>
      <c r="H502" s="135"/>
      <c r="J502" s="135"/>
      <c r="K502" s="135"/>
      <c r="L502" s="434"/>
      <c r="M502" s="435"/>
      <c r="N502" s="135"/>
    </row>
    <row r="503" spans="1:14" ht="15.75" customHeight="1">
      <c r="A503" s="423"/>
      <c r="E503" s="84"/>
      <c r="G503" s="71"/>
      <c r="H503" s="135"/>
      <c r="J503" s="135"/>
      <c r="K503" s="135"/>
      <c r="L503" s="434"/>
      <c r="M503" s="435"/>
      <c r="N503" s="135"/>
    </row>
    <row r="504" spans="1:14" ht="15.75" customHeight="1">
      <c r="A504" s="423"/>
      <c r="E504" s="84"/>
      <c r="G504" s="71"/>
      <c r="H504" s="135"/>
      <c r="J504" s="135"/>
      <c r="K504" s="135"/>
      <c r="L504" s="434"/>
      <c r="M504" s="435"/>
      <c r="N504" s="135"/>
    </row>
    <row r="505" spans="1:14" ht="15.75" customHeight="1">
      <c r="A505" s="423"/>
      <c r="E505" s="84"/>
      <c r="G505" s="71"/>
      <c r="H505" s="135"/>
      <c r="J505" s="135"/>
      <c r="K505" s="135"/>
      <c r="L505" s="434"/>
      <c r="M505" s="435"/>
      <c r="N505" s="135"/>
    </row>
    <row r="506" spans="1:14" ht="15.75" customHeight="1">
      <c r="A506" s="423"/>
      <c r="E506" s="84"/>
      <c r="G506" s="71"/>
      <c r="H506" s="135"/>
      <c r="J506" s="135"/>
      <c r="K506" s="135"/>
      <c r="L506" s="434"/>
      <c r="M506" s="435"/>
      <c r="N506" s="135"/>
    </row>
    <row r="507" spans="1:14" ht="15.75" customHeight="1">
      <c r="A507" s="423"/>
      <c r="E507" s="84"/>
      <c r="G507" s="71"/>
      <c r="H507" s="135"/>
      <c r="J507" s="135"/>
      <c r="K507" s="135"/>
      <c r="L507" s="434"/>
      <c r="M507" s="435"/>
      <c r="N507" s="135"/>
    </row>
    <row r="508" spans="1:14" ht="15.75" customHeight="1">
      <c r="A508" s="423"/>
      <c r="E508" s="84"/>
      <c r="G508" s="71"/>
      <c r="H508" s="135"/>
      <c r="J508" s="135"/>
      <c r="K508" s="135"/>
      <c r="L508" s="434"/>
      <c r="M508" s="435"/>
      <c r="N508" s="135"/>
    </row>
    <row r="509" spans="1:14" ht="15.75" customHeight="1">
      <c r="A509" s="423"/>
      <c r="E509" s="84"/>
      <c r="G509" s="71"/>
      <c r="H509" s="135"/>
      <c r="J509" s="135"/>
      <c r="K509" s="135"/>
      <c r="L509" s="434"/>
      <c r="M509" s="435"/>
      <c r="N509" s="135"/>
    </row>
    <row r="510" spans="1:14" ht="15.75" customHeight="1">
      <c r="A510" s="423"/>
      <c r="E510" s="84"/>
      <c r="G510" s="71"/>
      <c r="H510" s="135"/>
      <c r="J510" s="135"/>
      <c r="K510" s="135"/>
      <c r="L510" s="434"/>
      <c r="M510" s="435"/>
      <c r="N510" s="135"/>
    </row>
    <row r="511" spans="1:14" ht="15.75" customHeight="1">
      <c r="A511" s="423"/>
      <c r="E511" s="84"/>
      <c r="G511" s="71"/>
      <c r="H511" s="135"/>
      <c r="J511" s="135"/>
      <c r="K511" s="135"/>
      <c r="L511" s="434"/>
      <c r="M511" s="435"/>
      <c r="N511" s="135"/>
    </row>
    <row r="512" spans="1:14" ht="15.75" customHeight="1">
      <c r="A512" s="423"/>
      <c r="E512" s="84"/>
      <c r="G512" s="71"/>
      <c r="H512" s="135"/>
      <c r="J512" s="135"/>
      <c r="K512" s="135"/>
      <c r="L512" s="434"/>
      <c r="M512" s="435"/>
      <c r="N512" s="135"/>
    </row>
    <row r="513" spans="1:14" ht="15.75" customHeight="1">
      <c r="A513" s="423"/>
      <c r="E513" s="84"/>
      <c r="G513" s="71"/>
      <c r="H513" s="135"/>
      <c r="J513" s="135"/>
      <c r="K513" s="135"/>
      <c r="L513" s="434"/>
      <c r="M513" s="435"/>
      <c r="N513" s="135"/>
    </row>
    <row r="514" spans="1:14" ht="15.75" customHeight="1">
      <c r="A514" s="423"/>
      <c r="E514" s="84"/>
      <c r="G514" s="71"/>
      <c r="H514" s="135"/>
      <c r="J514" s="135"/>
      <c r="K514" s="135"/>
      <c r="L514" s="434"/>
      <c r="M514" s="435"/>
      <c r="N514" s="135"/>
    </row>
    <row r="515" spans="1:14" ht="15.75" customHeight="1">
      <c r="A515" s="423"/>
      <c r="E515" s="84"/>
      <c r="G515" s="71"/>
      <c r="H515" s="135"/>
      <c r="J515" s="135"/>
      <c r="K515" s="135"/>
      <c r="L515" s="434"/>
      <c r="M515" s="435"/>
      <c r="N515" s="135"/>
    </row>
    <row r="516" spans="1:14" ht="15.75" customHeight="1">
      <c r="A516" s="423"/>
      <c r="E516" s="84"/>
      <c r="G516" s="71"/>
      <c r="H516" s="135"/>
      <c r="J516" s="135"/>
      <c r="K516" s="135"/>
      <c r="L516" s="434"/>
      <c r="M516" s="435"/>
      <c r="N516" s="135"/>
    </row>
    <row r="517" spans="1:14" ht="15.75" customHeight="1">
      <c r="A517" s="423"/>
      <c r="E517" s="84"/>
      <c r="G517" s="71"/>
      <c r="H517" s="135"/>
      <c r="J517" s="135"/>
      <c r="K517" s="135"/>
      <c r="L517" s="434"/>
      <c r="M517" s="435"/>
      <c r="N517" s="135"/>
    </row>
    <row r="518" spans="1:14" ht="15.75" customHeight="1">
      <c r="A518" s="423"/>
      <c r="E518" s="84"/>
      <c r="G518" s="71"/>
      <c r="H518" s="135"/>
      <c r="J518" s="135"/>
      <c r="K518" s="135"/>
      <c r="L518" s="434"/>
      <c r="M518" s="435"/>
      <c r="N518" s="135"/>
    </row>
    <row r="519" spans="1:14" ht="15.75" customHeight="1">
      <c r="A519" s="423"/>
      <c r="E519" s="84"/>
      <c r="G519" s="71"/>
      <c r="H519" s="135"/>
      <c r="J519" s="135"/>
      <c r="K519" s="135"/>
      <c r="L519" s="434"/>
      <c r="M519" s="435"/>
      <c r="N519" s="135"/>
    </row>
    <row r="520" spans="1:14" ht="15.75" customHeight="1">
      <c r="A520" s="423"/>
      <c r="E520" s="84"/>
      <c r="G520" s="71"/>
      <c r="H520" s="135"/>
      <c r="J520" s="135"/>
      <c r="K520" s="135"/>
      <c r="L520" s="434"/>
      <c r="M520" s="435"/>
      <c r="N520" s="135"/>
    </row>
    <row r="521" spans="1:14" ht="15.75" customHeight="1">
      <c r="A521" s="423"/>
      <c r="E521" s="84"/>
      <c r="G521" s="71"/>
      <c r="H521" s="135"/>
      <c r="J521" s="135"/>
      <c r="K521" s="135"/>
      <c r="L521" s="434"/>
      <c r="M521" s="435"/>
      <c r="N521" s="135"/>
    </row>
    <row r="522" spans="1:14" ht="15.75" customHeight="1">
      <c r="A522" s="423"/>
      <c r="E522" s="84"/>
      <c r="G522" s="71"/>
      <c r="H522" s="135"/>
      <c r="J522" s="135"/>
      <c r="K522" s="135"/>
      <c r="L522" s="434"/>
      <c r="M522" s="435"/>
      <c r="N522" s="135"/>
    </row>
    <row r="523" spans="1:14" ht="15.75" customHeight="1">
      <c r="A523" s="423"/>
      <c r="E523" s="84"/>
      <c r="G523" s="71"/>
      <c r="H523" s="135"/>
      <c r="J523" s="135"/>
      <c r="K523" s="135"/>
      <c r="L523" s="434"/>
      <c r="M523" s="435"/>
      <c r="N523" s="135"/>
    </row>
    <row r="524" spans="1:14" ht="15.75" customHeight="1">
      <c r="A524" s="423"/>
      <c r="E524" s="84"/>
      <c r="G524" s="71"/>
      <c r="H524" s="135"/>
      <c r="J524" s="135"/>
      <c r="K524" s="135"/>
      <c r="L524" s="434"/>
      <c r="M524" s="435"/>
      <c r="N524" s="135"/>
    </row>
    <row r="525" spans="1:14" ht="15.75" customHeight="1">
      <c r="A525" s="423"/>
      <c r="E525" s="84"/>
      <c r="G525" s="71"/>
      <c r="H525" s="135"/>
      <c r="J525" s="135"/>
      <c r="K525" s="135"/>
      <c r="L525" s="434"/>
      <c r="M525" s="435"/>
      <c r="N525" s="135"/>
    </row>
    <row r="526" spans="1:14" ht="15.75" customHeight="1">
      <c r="A526" s="423"/>
      <c r="E526" s="84"/>
      <c r="G526" s="71"/>
      <c r="H526" s="135"/>
      <c r="J526" s="135"/>
      <c r="K526" s="135"/>
      <c r="L526" s="434"/>
      <c r="M526" s="435"/>
      <c r="N526" s="135"/>
    </row>
    <row r="527" spans="1:14" ht="15.75" customHeight="1">
      <c r="A527" s="423"/>
      <c r="E527" s="84"/>
      <c r="G527" s="71"/>
      <c r="H527" s="135"/>
      <c r="J527" s="135"/>
      <c r="K527" s="135"/>
      <c r="L527" s="434"/>
      <c r="M527" s="435"/>
      <c r="N527" s="135"/>
    </row>
    <row r="528" spans="1:14" ht="15.75" customHeight="1">
      <c r="A528" s="423"/>
      <c r="E528" s="84"/>
      <c r="G528" s="71"/>
      <c r="H528" s="135"/>
      <c r="J528" s="135"/>
      <c r="K528" s="135"/>
      <c r="L528" s="434"/>
      <c r="M528" s="435"/>
      <c r="N528" s="135"/>
    </row>
    <row r="529" spans="1:14" ht="15.75" customHeight="1">
      <c r="A529" s="423"/>
      <c r="E529" s="84"/>
      <c r="G529" s="71"/>
      <c r="H529" s="135"/>
      <c r="J529" s="135"/>
      <c r="K529" s="135"/>
      <c r="L529" s="434"/>
      <c r="M529" s="435"/>
      <c r="N529" s="135"/>
    </row>
    <row r="530" spans="1:14" ht="15.75" customHeight="1">
      <c r="A530" s="423"/>
      <c r="E530" s="84"/>
      <c r="G530" s="71"/>
      <c r="H530" s="135"/>
      <c r="J530" s="135"/>
      <c r="K530" s="135"/>
      <c r="L530" s="434"/>
      <c r="M530" s="435"/>
      <c r="N530" s="135"/>
    </row>
    <row r="531" spans="1:14" ht="15.75" customHeight="1">
      <c r="A531" s="423"/>
      <c r="E531" s="84"/>
      <c r="G531" s="71"/>
      <c r="H531" s="135"/>
      <c r="J531" s="135"/>
      <c r="K531" s="135"/>
      <c r="L531" s="434"/>
      <c r="M531" s="435"/>
      <c r="N531" s="135"/>
    </row>
    <row r="532" spans="1:14" ht="15.75" customHeight="1">
      <c r="A532" s="423"/>
      <c r="E532" s="84"/>
      <c r="G532" s="71"/>
      <c r="H532" s="135"/>
      <c r="J532" s="135"/>
      <c r="K532" s="135"/>
      <c r="L532" s="434"/>
      <c r="M532" s="435"/>
      <c r="N532" s="135"/>
    </row>
    <row r="533" spans="1:14" ht="15.75" customHeight="1">
      <c r="A533" s="423"/>
      <c r="E533" s="84"/>
      <c r="G533" s="71"/>
      <c r="H533" s="135"/>
      <c r="J533" s="135"/>
      <c r="K533" s="135"/>
      <c r="L533" s="434"/>
      <c r="M533" s="435"/>
      <c r="N533" s="135"/>
    </row>
    <row r="534" spans="1:14" ht="15.75" customHeight="1">
      <c r="A534" s="423"/>
      <c r="E534" s="84"/>
      <c r="G534" s="71"/>
      <c r="H534" s="135"/>
      <c r="J534" s="135"/>
      <c r="K534" s="135"/>
      <c r="L534" s="434"/>
      <c r="M534" s="435"/>
      <c r="N534" s="135"/>
    </row>
    <row r="535" spans="1:14" ht="15.75" customHeight="1">
      <c r="A535" s="423"/>
      <c r="E535" s="84"/>
      <c r="G535" s="71"/>
      <c r="H535" s="135"/>
      <c r="J535" s="135"/>
      <c r="K535" s="135"/>
      <c r="L535" s="434"/>
      <c r="M535" s="435"/>
      <c r="N535" s="135"/>
    </row>
    <row r="536" spans="1:14" ht="15.75" customHeight="1">
      <c r="A536" s="423"/>
      <c r="E536" s="84"/>
      <c r="G536" s="71"/>
      <c r="H536" s="135"/>
      <c r="J536" s="135"/>
      <c r="K536" s="135"/>
      <c r="L536" s="434"/>
      <c r="M536" s="435"/>
      <c r="N536" s="135"/>
    </row>
    <row r="537" spans="1:14" ht="15.75" customHeight="1">
      <c r="A537" s="423"/>
      <c r="E537" s="84"/>
      <c r="G537" s="71"/>
      <c r="H537" s="135"/>
      <c r="J537" s="135"/>
      <c r="K537" s="135"/>
      <c r="L537" s="434"/>
      <c r="M537" s="435"/>
      <c r="N537" s="135"/>
    </row>
    <row r="538" spans="1:14" ht="15.75" customHeight="1">
      <c r="A538" s="423"/>
      <c r="E538" s="84"/>
      <c r="G538" s="71"/>
      <c r="H538" s="135"/>
      <c r="J538" s="135"/>
      <c r="K538" s="135"/>
      <c r="L538" s="434"/>
      <c r="M538" s="435"/>
      <c r="N538" s="135"/>
    </row>
    <row r="539" spans="1:14" ht="15.75" customHeight="1">
      <c r="A539" s="423"/>
      <c r="E539" s="84"/>
      <c r="G539" s="71"/>
      <c r="H539" s="135"/>
      <c r="J539" s="135"/>
      <c r="K539" s="135"/>
      <c r="L539" s="434"/>
      <c r="M539" s="435"/>
      <c r="N539" s="135"/>
    </row>
    <row r="540" spans="1:14" ht="15.75" customHeight="1">
      <c r="A540" s="423"/>
      <c r="E540" s="84"/>
      <c r="G540" s="71"/>
      <c r="H540" s="135"/>
      <c r="J540" s="135"/>
      <c r="K540" s="135"/>
      <c r="L540" s="434"/>
      <c r="M540" s="435"/>
      <c r="N540" s="135"/>
    </row>
    <row r="541" spans="1:14" ht="15.75" customHeight="1">
      <c r="A541" s="423"/>
      <c r="E541" s="84"/>
      <c r="G541" s="71"/>
      <c r="H541" s="135"/>
      <c r="J541" s="135"/>
      <c r="K541" s="135"/>
      <c r="L541" s="434"/>
      <c r="M541" s="435"/>
      <c r="N541" s="135"/>
    </row>
    <row r="542" spans="1:14" ht="15.75" customHeight="1">
      <c r="A542" s="423"/>
      <c r="E542" s="84"/>
      <c r="G542" s="71"/>
      <c r="H542" s="135"/>
      <c r="J542" s="135"/>
      <c r="K542" s="135"/>
      <c r="L542" s="434"/>
      <c r="M542" s="435"/>
      <c r="N542" s="135"/>
    </row>
    <row r="543" spans="1:14" ht="15.75" customHeight="1">
      <c r="A543" s="423"/>
      <c r="E543" s="84"/>
      <c r="G543" s="71"/>
      <c r="H543" s="135"/>
      <c r="J543" s="135"/>
      <c r="K543" s="135"/>
      <c r="L543" s="434"/>
      <c r="M543" s="435"/>
      <c r="N543" s="135"/>
    </row>
    <row r="544" spans="1:14" ht="15.75" customHeight="1">
      <c r="A544" s="423"/>
      <c r="E544" s="84"/>
      <c r="G544" s="71"/>
      <c r="H544" s="135"/>
      <c r="J544" s="135"/>
      <c r="K544" s="135"/>
      <c r="L544" s="434"/>
      <c r="M544" s="435"/>
      <c r="N544" s="135"/>
    </row>
    <row r="545" spans="1:14" ht="15.75" customHeight="1">
      <c r="A545" s="423"/>
      <c r="E545" s="84"/>
      <c r="G545" s="71"/>
      <c r="H545" s="135"/>
      <c r="J545" s="135"/>
      <c r="K545" s="135"/>
      <c r="L545" s="434"/>
      <c r="M545" s="435"/>
      <c r="N545" s="135"/>
    </row>
    <row r="546" spans="1:14" ht="15.75" customHeight="1">
      <c r="A546" s="423"/>
      <c r="E546" s="84"/>
      <c r="G546" s="71"/>
      <c r="H546" s="135"/>
      <c r="J546" s="135"/>
      <c r="K546" s="135"/>
      <c r="L546" s="434"/>
      <c r="M546" s="435"/>
      <c r="N546" s="135"/>
    </row>
    <row r="547" spans="1:14" ht="15.75" customHeight="1">
      <c r="A547" s="423"/>
      <c r="E547" s="84"/>
      <c r="G547" s="71"/>
      <c r="H547" s="135"/>
      <c r="J547" s="135"/>
      <c r="K547" s="135"/>
      <c r="L547" s="434"/>
      <c r="M547" s="435"/>
      <c r="N547" s="135"/>
    </row>
    <row r="548" spans="1:14" ht="15.75" customHeight="1">
      <c r="A548" s="423"/>
      <c r="E548" s="84"/>
      <c r="G548" s="71"/>
      <c r="H548" s="135"/>
      <c r="J548" s="135"/>
      <c r="K548" s="135"/>
      <c r="L548" s="434"/>
      <c r="M548" s="435"/>
      <c r="N548" s="135"/>
    </row>
    <row r="549" spans="1:14" ht="15.75" customHeight="1">
      <c r="A549" s="423"/>
      <c r="E549" s="84"/>
      <c r="G549" s="71"/>
      <c r="H549" s="135"/>
      <c r="J549" s="135"/>
      <c r="K549" s="135"/>
      <c r="L549" s="434"/>
      <c r="M549" s="435"/>
      <c r="N549" s="135"/>
    </row>
    <row r="550" spans="1:14" ht="15.75" customHeight="1">
      <c r="A550" s="423"/>
      <c r="E550" s="84"/>
      <c r="G550" s="71"/>
      <c r="H550" s="135"/>
      <c r="J550" s="135"/>
      <c r="K550" s="135"/>
      <c r="L550" s="434"/>
      <c r="M550" s="435"/>
      <c r="N550" s="135"/>
    </row>
    <row r="551" spans="1:14" ht="15.75" customHeight="1">
      <c r="A551" s="423"/>
      <c r="E551" s="84"/>
      <c r="G551" s="71"/>
      <c r="H551" s="135"/>
      <c r="J551" s="135"/>
      <c r="K551" s="135"/>
      <c r="L551" s="434"/>
      <c r="M551" s="435"/>
      <c r="N551" s="135"/>
    </row>
    <row r="552" spans="1:14" ht="15.75" customHeight="1">
      <c r="A552" s="423"/>
      <c r="E552" s="84"/>
      <c r="G552" s="71"/>
      <c r="H552" s="135"/>
      <c r="J552" s="135"/>
      <c r="K552" s="135"/>
      <c r="L552" s="434"/>
      <c r="M552" s="435"/>
      <c r="N552" s="135"/>
    </row>
    <row r="553" spans="1:14" ht="15.75" customHeight="1">
      <c r="A553" s="423"/>
      <c r="E553" s="84"/>
      <c r="G553" s="71"/>
      <c r="H553" s="135"/>
      <c r="J553" s="135"/>
      <c r="K553" s="135"/>
      <c r="L553" s="434"/>
      <c r="M553" s="435"/>
      <c r="N553" s="135"/>
    </row>
    <row r="554" spans="1:14" ht="15.75" customHeight="1">
      <c r="A554" s="423"/>
      <c r="E554" s="84"/>
      <c r="G554" s="71"/>
      <c r="H554" s="135"/>
      <c r="J554" s="135"/>
      <c r="K554" s="135"/>
      <c r="L554" s="434"/>
      <c r="M554" s="435"/>
      <c r="N554" s="135"/>
    </row>
    <row r="555" spans="1:14" ht="15.75" customHeight="1">
      <c r="A555" s="423"/>
      <c r="E555" s="84"/>
      <c r="G555" s="71"/>
      <c r="H555" s="135"/>
      <c r="J555" s="135"/>
      <c r="K555" s="135"/>
      <c r="L555" s="434"/>
      <c r="M555" s="435"/>
      <c r="N555" s="135"/>
    </row>
    <row r="556" spans="1:14" ht="15.75" customHeight="1">
      <c r="A556" s="423"/>
      <c r="E556" s="84"/>
      <c r="G556" s="71"/>
      <c r="H556" s="135"/>
      <c r="J556" s="135"/>
      <c r="K556" s="135"/>
      <c r="L556" s="434"/>
      <c r="M556" s="435"/>
      <c r="N556" s="135"/>
    </row>
    <row r="557" spans="1:14" ht="15.75" customHeight="1">
      <c r="A557" s="423"/>
      <c r="E557" s="84"/>
      <c r="G557" s="71"/>
      <c r="H557" s="135"/>
      <c r="J557" s="135"/>
      <c r="K557" s="135"/>
      <c r="L557" s="434"/>
      <c r="M557" s="435"/>
      <c r="N557" s="135"/>
    </row>
    <row r="558" spans="1:14" ht="15.75" customHeight="1">
      <c r="A558" s="423"/>
      <c r="E558" s="84"/>
      <c r="G558" s="71"/>
      <c r="H558" s="135"/>
      <c r="J558" s="135"/>
      <c r="K558" s="135"/>
      <c r="L558" s="434"/>
      <c r="M558" s="435"/>
      <c r="N558" s="135"/>
    </row>
    <row r="559" spans="1:14" ht="15.75" customHeight="1">
      <c r="A559" s="423"/>
      <c r="E559" s="84"/>
      <c r="G559" s="71"/>
      <c r="H559" s="135"/>
      <c r="J559" s="135"/>
      <c r="K559" s="135"/>
      <c r="L559" s="434"/>
      <c r="M559" s="435"/>
      <c r="N559" s="135"/>
    </row>
    <row r="560" spans="1:14" ht="15.75" customHeight="1">
      <c r="A560" s="423"/>
      <c r="E560" s="84"/>
      <c r="G560" s="71"/>
      <c r="H560" s="135"/>
      <c r="J560" s="135"/>
      <c r="K560" s="135"/>
      <c r="L560" s="434"/>
      <c r="M560" s="435"/>
      <c r="N560" s="135"/>
    </row>
    <row r="561" spans="1:14" ht="15.75" customHeight="1">
      <c r="A561" s="423"/>
      <c r="E561" s="84"/>
      <c r="G561" s="71"/>
      <c r="H561" s="135"/>
      <c r="J561" s="135"/>
      <c r="K561" s="135"/>
      <c r="L561" s="434"/>
      <c r="M561" s="435"/>
      <c r="N561" s="135"/>
    </row>
    <row r="562" spans="1:14" ht="15.75" customHeight="1">
      <c r="A562" s="423"/>
      <c r="E562" s="84"/>
      <c r="G562" s="71"/>
      <c r="H562" s="135"/>
      <c r="J562" s="135"/>
      <c r="K562" s="135"/>
      <c r="L562" s="434"/>
      <c r="M562" s="435"/>
      <c r="N562" s="135"/>
    </row>
    <row r="563" spans="1:14" ht="15.75" customHeight="1">
      <c r="A563" s="423"/>
      <c r="E563" s="84"/>
      <c r="G563" s="71"/>
      <c r="H563" s="135"/>
      <c r="J563" s="135"/>
      <c r="K563" s="135"/>
      <c r="L563" s="434"/>
      <c r="M563" s="435"/>
      <c r="N563" s="135"/>
    </row>
    <row r="564" spans="1:14" ht="15.75" customHeight="1">
      <c r="A564" s="423"/>
      <c r="E564" s="84"/>
      <c r="G564" s="71"/>
      <c r="H564" s="135"/>
      <c r="J564" s="135"/>
      <c r="K564" s="135"/>
      <c r="L564" s="434"/>
      <c r="M564" s="435"/>
      <c r="N564" s="135"/>
    </row>
    <row r="565" spans="1:14" ht="15.75" customHeight="1">
      <c r="A565" s="423"/>
      <c r="E565" s="84"/>
      <c r="G565" s="71"/>
      <c r="H565" s="135"/>
      <c r="J565" s="135"/>
      <c r="K565" s="135"/>
      <c r="L565" s="71"/>
      <c r="M565" s="71"/>
      <c r="N565" s="135"/>
    </row>
    <row r="566" spans="1:14" ht="15.75" customHeight="1">
      <c r="A566" s="423"/>
      <c r="E566" s="84"/>
      <c r="G566" s="71"/>
      <c r="H566" s="135"/>
      <c r="J566" s="135"/>
      <c r="K566" s="135"/>
      <c r="L566" s="71"/>
      <c r="M566" s="71"/>
      <c r="N566" s="135"/>
    </row>
    <row r="567" spans="1:14" ht="15.75" customHeight="1">
      <c r="A567" s="423"/>
      <c r="E567" s="84"/>
      <c r="G567" s="71"/>
      <c r="H567" s="135"/>
      <c r="J567" s="135"/>
      <c r="K567" s="135"/>
      <c r="L567" s="71"/>
      <c r="M567" s="71"/>
      <c r="N567" s="135"/>
    </row>
    <row r="568" spans="1:14" ht="15.75" customHeight="1">
      <c r="A568" s="423"/>
      <c r="E568" s="84"/>
      <c r="G568" s="71"/>
      <c r="H568" s="135"/>
      <c r="J568" s="135"/>
      <c r="K568" s="135"/>
      <c r="L568" s="71"/>
      <c r="M568" s="71"/>
      <c r="N568" s="135"/>
    </row>
    <row r="569" spans="1:14" ht="15.75" customHeight="1">
      <c r="A569" s="423"/>
      <c r="E569" s="84"/>
      <c r="G569" s="71"/>
      <c r="H569" s="135"/>
      <c r="J569" s="135"/>
      <c r="K569" s="135"/>
      <c r="L569" s="71"/>
      <c r="M569" s="71"/>
      <c r="N569" s="135"/>
    </row>
    <row r="570" spans="1:14" ht="15.75" customHeight="1">
      <c r="A570" s="423"/>
      <c r="E570" s="84"/>
      <c r="G570" s="71"/>
      <c r="H570" s="135"/>
      <c r="J570" s="135"/>
      <c r="K570" s="135"/>
      <c r="L570" s="71"/>
      <c r="M570" s="71"/>
      <c r="N570" s="135"/>
    </row>
    <row r="571" spans="1:14" ht="15.75" customHeight="1">
      <c r="A571" s="423"/>
      <c r="E571" s="84"/>
      <c r="G571" s="71"/>
      <c r="H571" s="135"/>
      <c r="J571" s="135"/>
      <c r="K571" s="135"/>
      <c r="L571" s="71"/>
      <c r="M571" s="71"/>
      <c r="N571" s="135"/>
    </row>
    <row r="572" spans="1:14" ht="15.75" customHeight="1">
      <c r="A572" s="423"/>
      <c r="E572" s="84"/>
      <c r="G572" s="71"/>
      <c r="H572" s="135"/>
      <c r="J572" s="135"/>
      <c r="K572" s="135"/>
      <c r="L572" s="71"/>
      <c r="M572" s="71"/>
      <c r="N572" s="135"/>
    </row>
    <row r="573" spans="1:14" ht="15.75" customHeight="1">
      <c r="A573" s="423"/>
      <c r="E573" s="84"/>
      <c r="G573" s="71"/>
      <c r="H573" s="135"/>
      <c r="J573" s="135"/>
      <c r="K573" s="135"/>
      <c r="L573" s="71"/>
      <c r="M573" s="71"/>
      <c r="N573" s="135"/>
    </row>
    <row r="574" spans="1:14" ht="15.75" customHeight="1">
      <c r="A574" s="423"/>
      <c r="E574" s="84"/>
      <c r="G574" s="71"/>
      <c r="H574" s="135"/>
      <c r="J574" s="135"/>
      <c r="K574" s="135"/>
      <c r="L574" s="71"/>
      <c r="M574" s="71"/>
      <c r="N574" s="135"/>
    </row>
    <row r="575" spans="1:14" ht="15.75" customHeight="1">
      <c r="A575" s="423"/>
      <c r="E575" s="84"/>
      <c r="G575" s="71"/>
      <c r="H575" s="135"/>
      <c r="J575" s="135"/>
      <c r="K575" s="135"/>
      <c r="L575" s="71"/>
      <c r="M575" s="71"/>
      <c r="N575" s="135"/>
    </row>
    <row r="576" spans="1:14" ht="15.75" customHeight="1">
      <c r="A576" s="423"/>
      <c r="E576" s="84"/>
      <c r="G576" s="71"/>
      <c r="H576" s="135"/>
      <c r="J576" s="135"/>
      <c r="K576" s="135"/>
      <c r="L576" s="71"/>
      <c r="M576" s="71"/>
      <c r="N576" s="135"/>
    </row>
    <row r="577" spans="1:14" ht="15.75" customHeight="1">
      <c r="A577" s="423"/>
      <c r="E577" s="84"/>
      <c r="G577" s="71"/>
      <c r="H577" s="135"/>
      <c r="J577" s="135"/>
      <c r="K577" s="135"/>
      <c r="L577" s="71"/>
      <c r="M577" s="71"/>
      <c r="N577" s="135"/>
    </row>
    <row r="578" spans="1:14" ht="15.75" customHeight="1">
      <c r="A578" s="423"/>
      <c r="E578" s="84"/>
      <c r="G578" s="71"/>
      <c r="H578" s="135"/>
      <c r="J578" s="135"/>
      <c r="K578" s="135"/>
      <c r="L578" s="71"/>
      <c r="M578" s="71"/>
      <c r="N578" s="135"/>
    </row>
    <row r="579" spans="1:14" ht="15.75" customHeight="1">
      <c r="A579" s="423"/>
      <c r="E579" s="84"/>
      <c r="G579" s="71"/>
      <c r="H579" s="135"/>
      <c r="J579" s="135"/>
      <c r="K579" s="135"/>
      <c r="L579" s="71"/>
      <c r="M579" s="71"/>
      <c r="N579" s="135"/>
    </row>
    <row r="580" spans="1:14" ht="15.75" customHeight="1">
      <c r="A580" s="423"/>
      <c r="E580" s="84"/>
      <c r="G580" s="71"/>
      <c r="H580" s="135"/>
      <c r="J580" s="135"/>
      <c r="K580" s="135"/>
      <c r="L580" s="71"/>
      <c r="M580" s="71"/>
      <c r="N580" s="135"/>
    </row>
    <row r="581" spans="1:14" ht="15.75" customHeight="1">
      <c r="A581" s="423"/>
      <c r="E581" s="84"/>
      <c r="G581" s="71"/>
      <c r="H581" s="135"/>
      <c r="J581" s="135"/>
      <c r="K581" s="135"/>
      <c r="L581" s="71"/>
      <c r="M581" s="71"/>
      <c r="N581" s="135"/>
    </row>
    <row r="582" spans="1:14" ht="15.75" customHeight="1">
      <c r="A582" s="423"/>
      <c r="E582" s="84"/>
      <c r="G582" s="71"/>
      <c r="H582" s="135"/>
      <c r="J582" s="135"/>
      <c r="K582" s="135"/>
      <c r="L582" s="71"/>
      <c r="M582" s="71"/>
      <c r="N582" s="135"/>
    </row>
    <row r="583" spans="1:14" ht="15.75" customHeight="1">
      <c r="A583" s="423"/>
      <c r="E583" s="84"/>
      <c r="G583" s="71"/>
      <c r="H583" s="135"/>
      <c r="J583" s="135"/>
      <c r="K583" s="135"/>
      <c r="L583" s="71"/>
      <c r="M583" s="71"/>
      <c r="N583" s="135"/>
    </row>
    <row r="584" spans="1:14" ht="15.75" customHeight="1">
      <c r="A584" s="423"/>
      <c r="E584" s="84"/>
      <c r="G584" s="71"/>
      <c r="H584" s="135"/>
      <c r="J584" s="135"/>
      <c r="K584" s="135"/>
      <c r="L584" s="71"/>
      <c r="M584" s="71"/>
      <c r="N584" s="135"/>
    </row>
    <row r="585" spans="1:14" ht="15.75" customHeight="1">
      <c r="A585" s="423"/>
      <c r="E585" s="84"/>
      <c r="G585" s="71"/>
      <c r="H585" s="135"/>
      <c r="J585" s="135"/>
      <c r="K585" s="135"/>
      <c r="L585" s="71"/>
      <c r="M585" s="71"/>
      <c r="N585" s="135"/>
    </row>
    <row r="586" spans="1:14" ht="15.75" customHeight="1">
      <c r="A586" s="423"/>
      <c r="E586" s="84"/>
      <c r="G586" s="71"/>
      <c r="H586" s="135"/>
      <c r="J586" s="135"/>
      <c r="K586" s="135"/>
      <c r="L586" s="71"/>
      <c r="M586" s="71"/>
      <c r="N586" s="135"/>
    </row>
    <row r="587" spans="1:14" ht="15.75" customHeight="1">
      <c r="A587" s="423"/>
      <c r="E587" s="84"/>
      <c r="G587" s="71"/>
      <c r="H587" s="135"/>
      <c r="J587" s="135"/>
      <c r="K587" s="135"/>
      <c r="L587" s="71"/>
      <c r="M587" s="71"/>
      <c r="N587" s="135"/>
    </row>
    <row r="588" spans="1:14" ht="15.75" customHeight="1">
      <c r="A588" s="423"/>
      <c r="E588" s="84"/>
      <c r="G588" s="71"/>
      <c r="H588" s="135"/>
      <c r="J588" s="135"/>
      <c r="K588" s="135"/>
      <c r="L588" s="71"/>
      <c r="M588" s="71"/>
      <c r="N588" s="135"/>
    </row>
    <row r="589" spans="1:14" ht="15.75" customHeight="1">
      <c r="A589" s="423"/>
      <c r="E589" s="84"/>
      <c r="G589" s="71"/>
      <c r="H589" s="135"/>
      <c r="J589" s="135"/>
      <c r="K589" s="135"/>
      <c r="L589" s="71"/>
      <c r="M589" s="71"/>
      <c r="N589" s="135"/>
    </row>
    <row r="590" spans="1:14" ht="15.75" customHeight="1">
      <c r="A590" s="423"/>
      <c r="E590" s="84"/>
      <c r="G590" s="71"/>
      <c r="H590" s="135"/>
      <c r="J590" s="135"/>
      <c r="K590" s="135"/>
      <c r="L590" s="71"/>
      <c r="M590" s="71"/>
      <c r="N590" s="135"/>
    </row>
    <row r="591" spans="1:14" ht="15.75" customHeight="1">
      <c r="A591" s="423"/>
      <c r="E591" s="84"/>
      <c r="G591" s="71"/>
      <c r="H591" s="135"/>
      <c r="J591" s="135"/>
      <c r="K591" s="135"/>
      <c r="L591" s="71"/>
      <c r="M591" s="71"/>
      <c r="N591" s="135"/>
    </row>
    <row r="592" spans="1:14" ht="15.75" customHeight="1">
      <c r="A592" s="423"/>
      <c r="E592" s="84"/>
      <c r="G592" s="71"/>
      <c r="H592" s="135"/>
      <c r="J592" s="135"/>
      <c r="K592" s="135"/>
      <c r="L592" s="71"/>
      <c r="M592" s="71"/>
      <c r="N592" s="135"/>
    </row>
    <row r="593" spans="1:14" ht="15.75" customHeight="1">
      <c r="A593" s="423"/>
      <c r="E593" s="84"/>
      <c r="G593" s="71"/>
      <c r="H593" s="135"/>
      <c r="J593" s="135"/>
      <c r="K593" s="135"/>
      <c r="L593" s="71"/>
      <c r="M593" s="71"/>
      <c r="N593" s="135"/>
    </row>
    <row r="594" spans="1:14" ht="15.75" customHeight="1">
      <c r="A594" s="423"/>
      <c r="E594" s="84"/>
      <c r="G594" s="71"/>
      <c r="H594" s="135"/>
      <c r="J594" s="135"/>
      <c r="K594" s="135"/>
      <c r="L594" s="71"/>
      <c r="M594" s="71"/>
      <c r="N594" s="135"/>
    </row>
    <row r="595" spans="1:14" ht="15.75" customHeight="1">
      <c r="A595" s="423"/>
      <c r="E595" s="84"/>
      <c r="G595" s="71"/>
      <c r="H595" s="135"/>
      <c r="J595" s="135"/>
      <c r="K595" s="135"/>
      <c r="L595" s="71"/>
      <c r="M595" s="71"/>
      <c r="N595" s="135"/>
    </row>
    <row r="596" spans="1:14" ht="15.75" customHeight="1">
      <c r="A596" s="423"/>
      <c r="E596" s="84"/>
      <c r="G596" s="71"/>
      <c r="H596" s="135"/>
      <c r="J596" s="135"/>
      <c r="K596" s="135"/>
      <c r="L596" s="71"/>
      <c r="M596" s="71"/>
      <c r="N596" s="135"/>
    </row>
    <row r="597" spans="1:14" ht="15.75" customHeight="1">
      <c r="A597" s="423"/>
      <c r="E597" s="84"/>
      <c r="G597" s="71"/>
      <c r="H597" s="135"/>
      <c r="J597" s="135"/>
      <c r="K597" s="135"/>
      <c r="L597" s="71"/>
      <c r="M597" s="71"/>
      <c r="N597" s="135"/>
    </row>
    <row r="598" spans="1:14" ht="15.75" customHeight="1">
      <c r="A598" s="423"/>
      <c r="E598" s="84"/>
      <c r="G598" s="71"/>
      <c r="H598" s="135"/>
      <c r="J598" s="135"/>
      <c r="K598" s="135"/>
      <c r="L598" s="71"/>
      <c r="M598" s="71"/>
      <c r="N598" s="135"/>
    </row>
    <row r="599" spans="1:14" ht="15.75" customHeight="1">
      <c r="A599" s="423"/>
      <c r="E599" s="84"/>
      <c r="G599" s="71"/>
      <c r="H599" s="135"/>
      <c r="J599" s="135"/>
      <c r="K599" s="135"/>
      <c r="L599" s="71"/>
      <c r="M599" s="71"/>
      <c r="N599" s="135"/>
    </row>
    <row r="600" spans="1:14" ht="15.75" customHeight="1">
      <c r="A600" s="423"/>
      <c r="E600" s="84"/>
      <c r="G600" s="71"/>
      <c r="H600" s="135"/>
      <c r="J600" s="135"/>
      <c r="K600" s="135"/>
      <c r="L600" s="71"/>
      <c r="M600" s="71"/>
      <c r="N600" s="135"/>
    </row>
    <row r="601" spans="1:14" ht="15.75" customHeight="1">
      <c r="A601" s="423"/>
      <c r="E601" s="84"/>
      <c r="G601" s="71"/>
      <c r="H601" s="135"/>
      <c r="J601" s="135"/>
      <c r="K601" s="135"/>
      <c r="L601" s="71"/>
      <c r="M601" s="71"/>
      <c r="N601" s="135"/>
    </row>
    <row r="602" spans="1:14" ht="15.75" customHeight="1">
      <c r="A602" s="423"/>
      <c r="E602" s="84"/>
      <c r="G602" s="71"/>
      <c r="H602" s="135"/>
      <c r="J602" s="135"/>
      <c r="K602" s="135"/>
      <c r="L602" s="71"/>
      <c r="M602" s="71"/>
      <c r="N602" s="135"/>
    </row>
    <row r="603" spans="1:14" ht="15.75" customHeight="1">
      <c r="A603" s="423"/>
      <c r="E603" s="84"/>
      <c r="G603" s="71"/>
      <c r="H603" s="135"/>
      <c r="J603" s="135"/>
      <c r="K603" s="135"/>
      <c r="L603" s="71"/>
      <c r="M603" s="71"/>
      <c r="N603" s="135"/>
    </row>
    <row r="604" spans="1:14" ht="15.75" customHeight="1">
      <c r="A604" s="423"/>
      <c r="E604" s="84"/>
      <c r="G604" s="71"/>
      <c r="H604" s="135"/>
      <c r="J604" s="135"/>
      <c r="K604" s="135"/>
      <c r="L604" s="71"/>
      <c r="M604" s="71"/>
      <c r="N604" s="135"/>
    </row>
    <row r="605" spans="1:14" ht="15.75" customHeight="1">
      <c r="A605" s="423"/>
      <c r="E605" s="84"/>
      <c r="G605" s="71"/>
      <c r="H605" s="135"/>
      <c r="J605" s="135"/>
      <c r="K605" s="135"/>
      <c r="L605" s="71"/>
      <c r="M605" s="71"/>
      <c r="N605" s="135"/>
    </row>
    <row r="606" spans="1:14" ht="15.75" customHeight="1">
      <c r="A606" s="423"/>
      <c r="E606" s="84"/>
      <c r="G606" s="71"/>
      <c r="H606" s="135"/>
      <c r="J606" s="135"/>
      <c r="K606" s="135"/>
      <c r="L606" s="71"/>
      <c r="M606" s="71"/>
      <c r="N606" s="135"/>
    </row>
    <row r="607" spans="1:14" ht="15.75" customHeight="1">
      <c r="A607" s="423"/>
      <c r="E607" s="84"/>
      <c r="G607" s="71"/>
      <c r="H607" s="135"/>
      <c r="J607" s="135"/>
      <c r="K607" s="135"/>
      <c r="L607" s="71"/>
      <c r="M607" s="71"/>
      <c r="N607" s="135"/>
    </row>
    <row r="608" spans="1:14" ht="15.75" customHeight="1">
      <c r="A608" s="423"/>
      <c r="E608" s="84"/>
      <c r="G608" s="71"/>
      <c r="H608" s="135"/>
      <c r="J608" s="135"/>
      <c r="K608" s="135"/>
      <c r="L608" s="71"/>
      <c r="M608" s="71"/>
      <c r="N608" s="135"/>
    </row>
    <row r="609" spans="1:14" ht="15.75" customHeight="1">
      <c r="A609" s="423"/>
      <c r="E609" s="84"/>
      <c r="G609" s="71"/>
      <c r="H609" s="135"/>
      <c r="J609" s="135"/>
      <c r="K609" s="135"/>
      <c r="L609" s="71"/>
      <c r="M609" s="71"/>
      <c r="N609" s="135"/>
    </row>
    <row r="610" spans="1:14" ht="15.75" customHeight="1">
      <c r="A610" s="423"/>
      <c r="E610" s="84"/>
      <c r="G610" s="71"/>
      <c r="H610" s="135"/>
      <c r="J610" s="135"/>
      <c r="K610" s="135"/>
      <c r="L610" s="71"/>
      <c r="M610" s="71"/>
      <c r="N610" s="135"/>
    </row>
    <row r="611" spans="1:14" ht="15.75" customHeight="1">
      <c r="A611" s="423"/>
      <c r="E611" s="84"/>
      <c r="G611" s="71"/>
      <c r="H611" s="135"/>
      <c r="J611" s="135"/>
      <c r="K611" s="135"/>
      <c r="L611" s="71"/>
      <c r="M611" s="71"/>
      <c r="N611" s="135"/>
    </row>
    <row r="612" spans="1:14" ht="15.75" customHeight="1">
      <c r="A612" s="423"/>
      <c r="E612" s="84"/>
      <c r="G612" s="71"/>
      <c r="H612" s="135"/>
      <c r="J612" s="135"/>
      <c r="K612" s="135"/>
      <c r="L612" s="71"/>
      <c r="M612" s="71"/>
      <c r="N612" s="135"/>
    </row>
    <row r="613" spans="1:14" ht="15.75" customHeight="1">
      <c r="A613" s="423"/>
      <c r="E613" s="84"/>
      <c r="G613" s="71"/>
      <c r="H613" s="135"/>
      <c r="J613" s="135"/>
      <c r="K613" s="135"/>
      <c r="L613" s="71"/>
      <c r="M613" s="71"/>
      <c r="N613" s="135"/>
    </row>
    <row r="614" spans="1:14" ht="15.75" customHeight="1">
      <c r="A614" s="423"/>
      <c r="E614" s="84"/>
      <c r="G614" s="71"/>
      <c r="H614" s="135"/>
      <c r="J614" s="135"/>
      <c r="K614" s="135"/>
      <c r="L614" s="71"/>
      <c r="M614" s="71"/>
      <c r="N614" s="135"/>
    </row>
    <row r="615" spans="1:14" ht="15.75" customHeight="1">
      <c r="A615" s="423"/>
      <c r="E615" s="84"/>
      <c r="G615" s="71"/>
      <c r="H615" s="135"/>
      <c r="J615" s="135"/>
      <c r="K615" s="135"/>
      <c r="L615" s="71"/>
      <c r="M615" s="71"/>
      <c r="N615" s="135"/>
    </row>
    <row r="616" spans="1:14" ht="15.75" customHeight="1">
      <c r="A616" s="423"/>
      <c r="E616" s="84"/>
      <c r="G616" s="71"/>
      <c r="H616" s="135"/>
      <c r="J616" s="135"/>
      <c r="K616" s="135"/>
      <c r="L616" s="71"/>
      <c r="M616" s="71"/>
      <c r="N616" s="135"/>
    </row>
    <row r="617" spans="1:14" ht="15.75" customHeight="1">
      <c r="A617" s="423"/>
      <c r="E617" s="84"/>
      <c r="G617" s="71"/>
      <c r="H617" s="135"/>
      <c r="J617" s="135"/>
      <c r="K617" s="135"/>
      <c r="L617" s="71"/>
      <c r="M617" s="71"/>
      <c r="N617" s="135"/>
    </row>
    <row r="618" spans="1:14" ht="15.75" customHeight="1">
      <c r="A618" s="423"/>
      <c r="E618" s="84"/>
      <c r="G618" s="71"/>
      <c r="H618" s="135"/>
      <c r="J618" s="135"/>
      <c r="K618" s="135"/>
      <c r="L618" s="71"/>
      <c r="M618" s="71"/>
      <c r="N618" s="135"/>
    </row>
    <row r="619" spans="1:14" ht="15.75" customHeight="1">
      <c r="A619" s="423"/>
      <c r="E619" s="84"/>
      <c r="G619" s="71"/>
      <c r="H619" s="135"/>
      <c r="J619" s="135"/>
      <c r="K619" s="135"/>
      <c r="L619" s="71"/>
      <c r="M619" s="71"/>
      <c r="N619" s="135"/>
    </row>
    <row r="620" spans="1:14" ht="15.75" customHeight="1">
      <c r="A620" s="423"/>
      <c r="E620" s="84"/>
      <c r="G620" s="71"/>
      <c r="H620" s="135"/>
      <c r="J620" s="135"/>
      <c r="K620" s="135"/>
      <c r="L620" s="71"/>
      <c r="M620" s="71"/>
      <c r="N620" s="135"/>
    </row>
    <row r="621" spans="1:14" ht="15.75" customHeight="1">
      <c r="A621" s="423"/>
      <c r="E621" s="84"/>
      <c r="G621" s="71"/>
      <c r="H621" s="135"/>
      <c r="J621" s="135"/>
      <c r="K621" s="135"/>
      <c r="L621" s="71"/>
      <c r="M621" s="71"/>
      <c r="N621" s="135"/>
    </row>
    <row r="622" spans="1:14" ht="15.75" customHeight="1">
      <c r="A622" s="423"/>
      <c r="E622" s="84"/>
      <c r="G622" s="71"/>
      <c r="H622" s="135"/>
      <c r="J622" s="135"/>
      <c r="K622" s="135"/>
      <c r="L622" s="71"/>
      <c r="M622" s="71"/>
      <c r="N622" s="135"/>
    </row>
    <row r="623" spans="1:14" ht="15.75" customHeight="1">
      <c r="A623" s="423"/>
      <c r="E623" s="84"/>
      <c r="G623" s="71"/>
      <c r="H623" s="135"/>
      <c r="J623" s="135"/>
      <c r="K623" s="135"/>
      <c r="L623" s="71"/>
      <c r="M623" s="71"/>
      <c r="N623" s="135"/>
    </row>
    <row r="624" spans="1:14" ht="15.75" customHeight="1">
      <c r="A624" s="423"/>
      <c r="E624" s="84"/>
      <c r="G624" s="71"/>
      <c r="H624" s="135"/>
      <c r="J624" s="135"/>
      <c r="K624" s="135"/>
      <c r="L624" s="71"/>
      <c r="M624" s="71"/>
      <c r="N624" s="135"/>
    </row>
    <row r="625" spans="1:14" ht="15.75" customHeight="1">
      <c r="A625" s="423"/>
      <c r="E625" s="84"/>
      <c r="G625" s="71"/>
      <c r="H625" s="135"/>
      <c r="J625" s="135"/>
      <c r="K625" s="135"/>
      <c r="L625" s="71"/>
      <c r="M625" s="71"/>
      <c r="N625" s="135"/>
    </row>
    <row r="626" spans="1:14" ht="15.75" customHeight="1">
      <c r="A626" s="423"/>
      <c r="E626" s="84"/>
      <c r="G626" s="71"/>
      <c r="H626" s="135"/>
      <c r="J626" s="135"/>
      <c r="K626" s="135"/>
      <c r="L626" s="71"/>
      <c r="M626" s="71"/>
      <c r="N626" s="135"/>
    </row>
    <row r="627" spans="1:14" ht="15.75" customHeight="1">
      <c r="A627" s="423"/>
      <c r="E627" s="84"/>
      <c r="G627" s="71"/>
      <c r="H627" s="135"/>
      <c r="J627" s="135"/>
      <c r="K627" s="135"/>
      <c r="L627" s="71"/>
      <c r="M627" s="71"/>
      <c r="N627" s="135"/>
    </row>
    <row r="628" spans="1:14" ht="15.75" customHeight="1">
      <c r="A628" s="423"/>
      <c r="E628" s="84"/>
      <c r="G628" s="71"/>
      <c r="H628" s="135"/>
      <c r="J628" s="135"/>
      <c r="K628" s="135"/>
      <c r="L628" s="71"/>
      <c r="M628" s="71"/>
      <c r="N628" s="135"/>
    </row>
    <row r="629" spans="1:14" ht="15.75" customHeight="1">
      <c r="A629" s="423"/>
      <c r="E629" s="84"/>
      <c r="G629" s="71"/>
      <c r="H629" s="135"/>
      <c r="J629" s="135"/>
      <c r="K629" s="135"/>
      <c r="L629" s="71"/>
      <c r="M629" s="71"/>
      <c r="N629" s="135"/>
    </row>
    <row r="630" spans="1:14" ht="15.75" customHeight="1">
      <c r="A630" s="423"/>
      <c r="E630" s="84"/>
      <c r="G630" s="71"/>
      <c r="H630" s="135"/>
      <c r="J630" s="135"/>
      <c r="K630" s="135"/>
      <c r="L630" s="71"/>
      <c r="M630" s="71"/>
      <c r="N630" s="135"/>
    </row>
    <row r="631" spans="1:14" ht="15.75" customHeight="1">
      <c r="A631" s="423"/>
      <c r="E631" s="84"/>
      <c r="G631" s="71"/>
      <c r="H631" s="135"/>
      <c r="J631" s="135"/>
      <c r="K631" s="135"/>
      <c r="L631" s="71"/>
      <c r="M631" s="71"/>
      <c r="N631" s="135"/>
    </row>
    <row r="632" spans="1:14" ht="15.75" customHeight="1">
      <c r="A632" s="423"/>
      <c r="E632" s="84"/>
      <c r="G632" s="71"/>
      <c r="H632" s="135"/>
      <c r="J632" s="135"/>
      <c r="K632" s="135"/>
      <c r="L632" s="71"/>
      <c r="M632" s="71"/>
      <c r="N632" s="135"/>
    </row>
    <row r="633" spans="1:14" ht="15.75" customHeight="1">
      <c r="A633" s="423"/>
      <c r="E633" s="84"/>
      <c r="G633" s="71"/>
      <c r="H633" s="135"/>
      <c r="J633" s="135"/>
      <c r="K633" s="135"/>
      <c r="L633" s="71"/>
      <c r="M633" s="71"/>
      <c r="N633" s="135"/>
    </row>
    <row r="634" spans="1:14" ht="15.75" customHeight="1">
      <c r="A634" s="423"/>
      <c r="E634" s="84"/>
      <c r="G634" s="71"/>
      <c r="H634" s="135"/>
      <c r="J634" s="135"/>
      <c r="K634" s="135"/>
      <c r="L634" s="71"/>
      <c r="M634" s="71"/>
      <c r="N634" s="135"/>
    </row>
    <row r="635" spans="1:14" ht="15.75" customHeight="1">
      <c r="A635" s="423"/>
      <c r="E635" s="84"/>
      <c r="G635" s="71"/>
      <c r="H635" s="135"/>
      <c r="J635" s="135"/>
      <c r="K635" s="135"/>
      <c r="L635" s="71"/>
      <c r="M635" s="71"/>
      <c r="N635" s="135"/>
    </row>
    <row r="636" spans="1:14" ht="15.75" customHeight="1">
      <c r="A636" s="423"/>
      <c r="E636" s="84"/>
      <c r="G636" s="71"/>
      <c r="H636" s="135"/>
      <c r="J636" s="135"/>
      <c r="K636" s="135"/>
      <c r="L636" s="71"/>
      <c r="M636" s="71"/>
      <c r="N636" s="135"/>
    </row>
    <row r="637" spans="1:14" ht="15.75" customHeight="1">
      <c r="A637" s="423"/>
      <c r="E637" s="84"/>
      <c r="G637" s="71"/>
      <c r="H637" s="135"/>
      <c r="J637" s="135"/>
      <c r="K637" s="135"/>
      <c r="L637" s="71"/>
      <c r="M637" s="71"/>
      <c r="N637" s="135"/>
    </row>
    <row r="638" spans="1:14" ht="15.75" customHeight="1">
      <c r="A638" s="423"/>
      <c r="E638" s="84"/>
      <c r="G638" s="71"/>
      <c r="H638" s="135"/>
      <c r="J638" s="135"/>
      <c r="K638" s="135"/>
      <c r="L638" s="71"/>
      <c r="M638" s="71"/>
      <c r="N638" s="135"/>
    </row>
    <row r="639" spans="1:14" ht="15.75" customHeight="1">
      <c r="A639" s="423"/>
      <c r="E639" s="84"/>
      <c r="G639" s="71"/>
      <c r="H639" s="135"/>
      <c r="J639" s="135"/>
      <c r="K639" s="135"/>
      <c r="L639" s="71"/>
      <c r="M639" s="71"/>
      <c r="N639" s="135"/>
    </row>
    <row r="640" spans="1:14" ht="15.75" customHeight="1">
      <c r="A640" s="423"/>
      <c r="E640" s="84"/>
      <c r="G640" s="71"/>
      <c r="H640" s="135"/>
      <c r="J640" s="135"/>
      <c r="K640" s="135"/>
      <c r="L640" s="71"/>
      <c r="M640" s="71"/>
      <c r="N640" s="135"/>
    </row>
    <row r="641" spans="1:14" ht="15.75" customHeight="1">
      <c r="A641" s="423"/>
      <c r="E641" s="84"/>
      <c r="G641" s="71"/>
      <c r="H641" s="135"/>
      <c r="J641" s="135"/>
      <c r="K641" s="135"/>
      <c r="L641" s="71"/>
      <c r="M641" s="71"/>
      <c r="N641" s="135"/>
    </row>
    <row r="642" spans="1:14" ht="15.75" customHeight="1">
      <c r="A642" s="423"/>
      <c r="E642" s="84"/>
      <c r="G642" s="71"/>
      <c r="H642" s="135"/>
      <c r="J642" s="135"/>
      <c r="K642" s="135"/>
      <c r="L642" s="71"/>
      <c r="M642" s="71"/>
      <c r="N642" s="135"/>
    </row>
    <row r="643" spans="1:14" ht="15.75" customHeight="1">
      <c r="A643" s="423"/>
      <c r="E643" s="84"/>
      <c r="G643" s="71"/>
      <c r="H643" s="135"/>
      <c r="J643" s="135"/>
      <c r="K643" s="135"/>
      <c r="L643" s="71"/>
      <c r="M643" s="71"/>
      <c r="N643" s="135"/>
    </row>
    <row r="644" spans="1:14" ht="15.75" customHeight="1">
      <c r="A644" s="423"/>
      <c r="E644" s="84"/>
      <c r="G644" s="71"/>
      <c r="H644" s="135"/>
      <c r="J644" s="135"/>
      <c r="K644" s="135"/>
      <c r="L644" s="71"/>
      <c r="M644" s="71"/>
      <c r="N644" s="135"/>
    </row>
    <row r="645" spans="1:14" ht="15.75" customHeight="1">
      <c r="A645" s="423"/>
      <c r="E645" s="84"/>
      <c r="G645" s="71"/>
      <c r="H645" s="135"/>
      <c r="J645" s="135"/>
      <c r="K645" s="135"/>
      <c r="L645" s="71"/>
      <c r="M645" s="71"/>
      <c r="N645" s="135"/>
    </row>
    <row r="646" spans="1:14" ht="15.75" customHeight="1">
      <c r="A646" s="423"/>
      <c r="E646" s="84"/>
      <c r="G646" s="71"/>
      <c r="H646" s="135"/>
      <c r="J646" s="135"/>
      <c r="K646" s="135"/>
      <c r="L646" s="71"/>
      <c r="M646" s="71"/>
      <c r="N646" s="135"/>
    </row>
    <row r="647" spans="1:14" ht="15.75" customHeight="1">
      <c r="A647" s="423"/>
      <c r="E647" s="84"/>
      <c r="G647" s="71"/>
      <c r="H647" s="135"/>
      <c r="J647" s="135"/>
      <c r="K647" s="135"/>
      <c r="L647" s="71"/>
      <c r="M647" s="71"/>
      <c r="N647" s="135"/>
    </row>
    <row r="648" spans="1:14" ht="15.75" customHeight="1">
      <c r="A648" s="423"/>
      <c r="E648" s="84"/>
      <c r="G648" s="71"/>
      <c r="H648" s="135"/>
      <c r="J648" s="135"/>
      <c r="K648" s="135"/>
      <c r="L648" s="71"/>
      <c r="M648" s="71"/>
      <c r="N648" s="135"/>
    </row>
    <row r="649" spans="1:14" ht="15.75" customHeight="1">
      <c r="A649" s="423"/>
      <c r="E649" s="84"/>
      <c r="G649" s="71"/>
      <c r="H649" s="135"/>
      <c r="J649" s="135"/>
      <c r="K649" s="135"/>
      <c r="L649" s="71"/>
      <c r="M649" s="71"/>
      <c r="N649" s="135"/>
    </row>
    <row r="650" spans="1:14" ht="15.75" customHeight="1">
      <c r="A650" s="423"/>
      <c r="E650" s="84"/>
      <c r="G650" s="71"/>
      <c r="H650" s="135"/>
      <c r="J650" s="135"/>
      <c r="K650" s="135"/>
      <c r="L650" s="71"/>
      <c r="M650" s="71"/>
      <c r="N650" s="135"/>
    </row>
    <row r="651" spans="1:14" ht="15.75" customHeight="1">
      <c r="A651" s="423"/>
      <c r="E651" s="84"/>
      <c r="G651" s="71"/>
      <c r="H651" s="135"/>
      <c r="J651" s="135"/>
      <c r="K651" s="135"/>
      <c r="L651" s="71"/>
      <c r="M651" s="71"/>
      <c r="N651" s="135"/>
    </row>
    <row r="652" spans="1:14" ht="15.75" customHeight="1">
      <c r="A652" s="423"/>
      <c r="E652" s="84"/>
      <c r="G652" s="71"/>
      <c r="H652" s="135"/>
      <c r="J652" s="135"/>
      <c r="K652" s="135"/>
      <c r="L652" s="71"/>
      <c r="M652" s="71"/>
      <c r="N652" s="135"/>
    </row>
    <row r="653" spans="1:14" ht="15.75" customHeight="1">
      <c r="A653" s="423"/>
      <c r="E653" s="84"/>
      <c r="G653" s="71"/>
      <c r="H653" s="135"/>
      <c r="J653" s="135"/>
      <c r="K653" s="135"/>
      <c r="L653" s="71"/>
      <c r="M653" s="71"/>
      <c r="N653" s="135"/>
    </row>
    <row r="654" spans="1:14" ht="15.75" customHeight="1">
      <c r="A654" s="423"/>
      <c r="E654" s="84"/>
      <c r="G654" s="71"/>
      <c r="H654" s="135"/>
      <c r="J654" s="135"/>
      <c r="K654" s="135"/>
      <c r="L654" s="71"/>
      <c r="M654" s="71"/>
      <c r="N654" s="135"/>
    </row>
    <row r="655" spans="1:14" ht="15.75" customHeight="1">
      <c r="A655" s="423"/>
      <c r="E655" s="84"/>
      <c r="G655" s="71"/>
      <c r="H655" s="135"/>
      <c r="J655" s="135"/>
      <c r="K655" s="135"/>
      <c r="L655" s="71"/>
      <c r="M655" s="71"/>
      <c r="N655" s="135"/>
    </row>
    <row r="656" spans="1:14" ht="15.75" customHeight="1">
      <c r="A656" s="423"/>
      <c r="E656" s="84"/>
      <c r="G656" s="71"/>
      <c r="H656" s="135"/>
      <c r="J656" s="135"/>
      <c r="K656" s="135"/>
      <c r="L656" s="71"/>
      <c r="M656" s="71"/>
      <c r="N656" s="135"/>
    </row>
    <row r="657" spans="1:14" ht="15.75" customHeight="1">
      <c r="A657" s="423"/>
      <c r="E657" s="84"/>
      <c r="G657" s="71"/>
      <c r="H657" s="135"/>
      <c r="J657" s="135"/>
      <c r="K657" s="135"/>
      <c r="L657" s="71"/>
      <c r="M657" s="71"/>
      <c r="N657" s="135"/>
    </row>
    <row r="658" spans="1:14" ht="15.75" customHeight="1">
      <c r="A658" s="423"/>
      <c r="E658" s="84"/>
      <c r="G658" s="71"/>
      <c r="H658" s="135"/>
      <c r="J658" s="135"/>
      <c r="K658" s="135"/>
      <c r="L658" s="71"/>
      <c r="M658" s="71"/>
      <c r="N658" s="135"/>
    </row>
    <row r="659" spans="1:14" ht="15.75" customHeight="1">
      <c r="A659" s="423"/>
      <c r="E659" s="84"/>
      <c r="G659" s="71"/>
      <c r="H659" s="135"/>
      <c r="J659" s="135"/>
      <c r="K659" s="135"/>
      <c r="L659" s="71"/>
      <c r="M659" s="71"/>
      <c r="N659" s="135"/>
    </row>
    <row r="660" spans="1:14" ht="15.75" customHeight="1">
      <c r="A660" s="423"/>
      <c r="E660" s="84"/>
      <c r="G660" s="71"/>
      <c r="H660" s="135"/>
      <c r="J660" s="135"/>
      <c r="K660" s="135"/>
      <c r="L660" s="71"/>
      <c r="M660" s="71"/>
      <c r="N660" s="135"/>
    </row>
    <row r="661" spans="1:14" ht="15.75" customHeight="1">
      <c r="A661" s="423"/>
      <c r="E661" s="84"/>
      <c r="G661" s="71"/>
      <c r="H661" s="135"/>
      <c r="J661" s="135"/>
      <c r="K661" s="135"/>
      <c r="L661" s="71"/>
      <c r="M661" s="71"/>
      <c r="N661" s="135"/>
    </row>
    <row r="662" spans="1:14" ht="15.75" customHeight="1">
      <c r="A662" s="423"/>
      <c r="E662" s="84"/>
      <c r="G662" s="71"/>
      <c r="H662" s="135"/>
      <c r="J662" s="135"/>
      <c r="K662" s="135"/>
      <c r="L662" s="71"/>
      <c r="M662" s="71"/>
      <c r="N662" s="135"/>
    </row>
    <row r="663" spans="1:14" ht="15.75" customHeight="1">
      <c r="A663" s="423"/>
      <c r="E663" s="84"/>
      <c r="G663" s="71"/>
      <c r="H663" s="135"/>
      <c r="J663" s="135"/>
      <c r="K663" s="135"/>
      <c r="L663" s="71"/>
      <c r="M663" s="71"/>
      <c r="N663" s="135"/>
    </row>
    <row r="664" spans="1:14" ht="15.75" customHeight="1">
      <c r="A664" s="423"/>
      <c r="E664" s="84"/>
      <c r="G664" s="71"/>
      <c r="H664" s="135"/>
      <c r="J664" s="135"/>
      <c r="K664" s="135"/>
      <c r="L664" s="71"/>
      <c r="M664" s="71"/>
      <c r="N664" s="135"/>
    </row>
    <row r="665" spans="1:14" ht="15.75" customHeight="1">
      <c r="A665" s="423"/>
      <c r="E665" s="84"/>
      <c r="G665" s="71"/>
      <c r="H665" s="135"/>
      <c r="J665" s="135"/>
      <c r="K665" s="135"/>
      <c r="L665" s="71"/>
      <c r="M665" s="71"/>
      <c r="N665" s="135"/>
    </row>
    <row r="666" spans="1:14" ht="15.75" customHeight="1">
      <c r="A666" s="423"/>
      <c r="E666" s="84"/>
      <c r="G666" s="71"/>
      <c r="H666" s="135"/>
      <c r="J666" s="135"/>
      <c r="K666" s="135"/>
      <c r="L666" s="71"/>
      <c r="M666" s="71"/>
      <c r="N666" s="135"/>
    </row>
    <row r="667" spans="1:14" ht="15.75" customHeight="1">
      <c r="A667" s="423"/>
      <c r="E667" s="84"/>
      <c r="G667" s="71"/>
      <c r="H667" s="135"/>
      <c r="J667" s="135"/>
      <c r="K667" s="135"/>
      <c r="L667" s="71"/>
      <c r="M667" s="71"/>
      <c r="N667" s="135"/>
    </row>
    <row r="668" spans="1:14" ht="15.75" customHeight="1">
      <c r="A668" s="423"/>
      <c r="E668" s="84"/>
      <c r="G668" s="71"/>
      <c r="H668" s="135"/>
      <c r="J668" s="135"/>
      <c r="K668" s="135"/>
      <c r="L668" s="71"/>
      <c r="M668" s="71"/>
      <c r="N668" s="135"/>
    </row>
    <row r="669" spans="1:14" ht="15.75" customHeight="1">
      <c r="A669" s="423"/>
      <c r="E669" s="84"/>
      <c r="G669" s="71"/>
      <c r="H669" s="135"/>
      <c r="J669" s="135"/>
      <c r="K669" s="135"/>
      <c r="L669" s="71"/>
      <c r="M669" s="71"/>
      <c r="N669" s="135"/>
    </row>
    <row r="670" spans="1:14" ht="15.75" customHeight="1">
      <c r="A670" s="423"/>
      <c r="E670" s="84"/>
      <c r="G670" s="71"/>
      <c r="H670" s="135"/>
      <c r="J670" s="135"/>
      <c r="K670" s="135"/>
      <c r="L670" s="71"/>
      <c r="M670" s="71"/>
      <c r="N670" s="135"/>
    </row>
    <row r="671" spans="1:14" ht="15.75" customHeight="1">
      <c r="A671" s="423"/>
      <c r="E671" s="84"/>
      <c r="G671" s="71"/>
      <c r="H671" s="135"/>
      <c r="J671" s="135"/>
      <c r="K671" s="135"/>
      <c r="L671" s="71"/>
      <c r="M671" s="71"/>
      <c r="N671" s="135"/>
    </row>
    <row r="672" spans="1:14" ht="15.75" customHeight="1">
      <c r="A672" s="423"/>
      <c r="E672" s="84"/>
      <c r="G672" s="71"/>
      <c r="H672" s="135"/>
      <c r="J672" s="135"/>
      <c r="K672" s="135"/>
      <c r="L672" s="71"/>
      <c r="M672" s="71"/>
      <c r="N672" s="135"/>
    </row>
    <row r="673" spans="1:14" ht="15.75" customHeight="1">
      <c r="A673" s="423"/>
      <c r="E673" s="84"/>
      <c r="G673" s="71"/>
      <c r="H673" s="135"/>
      <c r="J673" s="135"/>
      <c r="K673" s="135"/>
      <c r="L673" s="71"/>
      <c r="M673" s="71"/>
      <c r="N673" s="135"/>
    </row>
    <row r="674" spans="1:14" ht="15.75" customHeight="1">
      <c r="A674" s="423"/>
      <c r="E674" s="84"/>
      <c r="G674" s="71"/>
      <c r="H674" s="135"/>
      <c r="J674" s="135"/>
      <c r="K674" s="135"/>
      <c r="L674" s="71"/>
      <c r="M674" s="71"/>
      <c r="N674" s="135"/>
    </row>
    <row r="675" spans="1:14" ht="15.75" customHeight="1">
      <c r="A675" s="423"/>
      <c r="E675" s="84"/>
      <c r="G675" s="71"/>
      <c r="H675" s="135"/>
      <c r="J675" s="135"/>
      <c r="K675" s="135"/>
      <c r="L675" s="71"/>
      <c r="M675" s="71"/>
      <c r="N675" s="135"/>
    </row>
    <row r="676" spans="1:14" ht="15.75" customHeight="1">
      <c r="A676" s="423"/>
      <c r="E676" s="84"/>
      <c r="G676" s="71"/>
      <c r="H676" s="135"/>
      <c r="J676" s="135"/>
      <c r="K676" s="135"/>
      <c r="L676" s="71"/>
      <c r="M676" s="71"/>
      <c r="N676" s="135"/>
    </row>
    <row r="677" spans="1:14" ht="15.75" customHeight="1">
      <c r="A677" s="423"/>
      <c r="E677" s="84"/>
      <c r="G677" s="71"/>
      <c r="H677" s="135"/>
      <c r="J677" s="135"/>
      <c r="K677" s="135"/>
      <c r="L677" s="71"/>
      <c r="M677" s="71"/>
      <c r="N677" s="135"/>
    </row>
    <row r="678" spans="1:14" ht="15.75" customHeight="1">
      <c r="A678" s="423"/>
      <c r="E678" s="84"/>
      <c r="G678" s="71"/>
      <c r="H678" s="135"/>
      <c r="J678" s="135"/>
      <c r="K678" s="135"/>
      <c r="L678" s="71"/>
      <c r="M678" s="71"/>
      <c r="N678" s="135"/>
    </row>
    <row r="679" spans="1:14" ht="15.75" customHeight="1">
      <c r="A679" s="423"/>
      <c r="E679" s="84"/>
      <c r="G679" s="71"/>
      <c r="H679" s="135"/>
      <c r="J679" s="135"/>
      <c r="K679" s="135"/>
      <c r="L679" s="71"/>
      <c r="M679" s="71"/>
      <c r="N679" s="135"/>
    </row>
    <row r="680" spans="1:14" ht="15.75" customHeight="1">
      <c r="A680" s="423"/>
      <c r="E680" s="84"/>
      <c r="G680" s="71"/>
      <c r="H680" s="135"/>
      <c r="J680" s="135"/>
      <c r="K680" s="135"/>
      <c r="L680" s="71"/>
      <c r="M680" s="71"/>
      <c r="N680" s="135"/>
    </row>
    <row r="681" spans="1:14" ht="15.75" customHeight="1">
      <c r="A681" s="423"/>
      <c r="E681" s="84"/>
      <c r="G681" s="71"/>
      <c r="H681" s="135"/>
      <c r="J681" s="135"/>
      <c r="K681" s="135"/>
      <c r="L681" s="71"/>
      <c r="M681" s="71"/>
      <c r="N681" s="135"/>
    </row>
    <row r="682" spans="1:14" ht="15.75" customHeight="1">
      <c r="A682" s="423"/>
      <c r="E682" s="84"/>
      <c r="G682" s="71"/>
      <c r="H682" s="135"/>
      <c r="J682" s="135"/>
      <c r="K682" s="135"/>
      <c r="L682" s="71"/>
      <c r="M682" s="71"/>
      <c r="N682" s="135"/>
    </row>
    <row r="683" spans="1:14" ht="15.75" customHeight="1">
      <c r="A683" s="423"/>
      <c r="E683" s="84"/>
      <c r="G683" s="71"/>
      <c r="H683" s="135"/>
      <c r="J683" s="135"/>
      <c r="K683" s="135"/>
      <c r="L683" s="71"/>
      <c r="M683" s="71"/>
      <c r="N683" s="135"/>
    </row>
    <row r="684" spans="1:14" ht="15.75" customHeight="1">
      <c r="A684" s="423"/>
      <c r="E684" s="84"/>
      <c r="G684" s="71"/>
      <c r="H684" s="135"/>
      <c r="J684" s="135"/>
      <c r="K684" s="135"/>
      <c r="L684" s="71"/>
      <c r="M684" s="71"/>
      <c r="N684" s="135"/>
    </row>
    <row r="685" spans="1:14" ht="15.75" customHeight="1">
      <c r="A685" s="423"/>
      <c r="E685" s="84"/>
      <c r="G685" s="71"/>
      <c r="H685" s="135"/>
      <c r="J685" s="135"/>
      <c r="K685" s="135"/>
      <c r="L685" s="71"/>
      <c r="M685" s="71"/>
      <c r="N685" s="135"/>
    </row>
    <row r="686" spans="1:14" ht="15.75" customHeight="1">
      <c r="A686" s="423"/>
      <c r="E686" s="84"/>
      <c r="G686" s="71"/>
      <c r="H686" s="135"/>
      <c r="J686" s="135"/>
      <c r="K686" s="135"/>
      <c r="L686" s="71"/>
      <c r="M686" s="71"/>
      <c r="N686" s="135"/>
    </row>
    <row r="687" spans="1:14" ht="15.75" customHeight="1">
      <c r="A687" s="423"/>
      <c r="E687" s="84"/>
      <c r="G687" s="71"/>
      <c r="H687" s="135"/>
      <c r="J687" s="135"/>
      <c r="K687" s="135"/>
      <c r="L687" s="71"/>
      <c r="M687" s="71"/>
      <c r="N687" s="135"/>
    </row>
    <row r="688" spans="1:14" ht="15.75" customHeight="1">
      <c r="A688" s="423"/>
      <c r="E688" s="84"/>
      <c r="G688" s="71"/>
      <c r="H688" s="135"/>
      <c r="J688" s="135"/>
      <c r="K688" s="135"/>
      <c r="L688" s="71"/>
      <c r="M688" s="71"/>
      <c r="N688" s="135"/>
    </row>
    <row r="689" spans="1:14" ht="15.75" customHeight="1">
      <c r="A689" s="423"/>
      <c r="E689" s="84"/>
      <c r="G689" s="71"/>
      <c r="H689" s="135"/>
      <c r="J689" s="135"/>
      <c r="K689" s="135"/>
      <c r="L689" s="71"/>
      <c r="M689" s="71"/>
      <c r="N689" s="135"/>
    </row>
    <row r="690" spans="1:14" ht="15.75" customHeight="1">
      <c r="A690" s="423"/>
      <c r="E690" s="84"/>
      <c r="G690" s="71"/>
      <c r="H690" s="135"/>
      <c r="J690" s="135"/>
      <c r="K690" s="135"/>
      <c r="L690" s="71"/>
      <c r="M690" s="71"/>
      <c r="N690" s="135"/>
    </row>
    <row r="691" spans="1:14" ht="15.75" customHeight="1">
      <c r="A691" s="423"/>
      <c r="E691" s="84"/>
      <c r="G691" s="71"/>
      <c r="H691" s="135"/>
      <c r="J691" s="135"/>
      <c r="K691" s="135"/>
      <c r="L691" s="71"/>
      <c r="M691" s="71"/>
      <c r="N691" s="135"/>
    </row>
    <row r="692" spans="1:14" ht="15.75" customHeight="1">
      <c r="A692" s="423"/>
      <c r="E692" s="84"/>
      <c r="G692" s="71"/>
      <c r="H692" s="135"/>
      <c r="J692" s="135"/>
      <c r="K692" s="135"/>
      <c r="L692" s="71"/>
      <c r="M692" s="71"/>
      <c r="N692" s="135"/>
    </row>
    <row r="693" spans="1:14" ht="15.75" customHeight="1">
      <c r="A693" s="423"/>
      <c r="E693" s="84"/>
      <c r="G693" s="71"/>
      <c r="H693" s="135"/>
      <c r="J693" s="135"/>
      <c r="K693" s="135"/>
      <c r="L693" s="71"/>
      <c r="M693" s="71"/>
      <c r="N693" s="135"/>
    </row>
    <row r="694" spans="1:14" ht="15.75" customHeight="1">
      <c r="A694" s="423"/>
      <c r="E694" s="84"/>
      <c r="G694" s="71"/>
      <c r="H694" s="135"/>
      <c r="J694" s="135"/>
      <c r="K694" s="135"/>
      <c r="L694" s="71"/>
      <c r="M694" s="71"/>
      <c r="N694" s="135"/>
    </row>
    <row r="695" spans="1:14" ht="15.75" customHeight="1">
      <c r="A695" s="423"/>
      <c r="E695" s="84"/>
      <c r="G695" s="71"/>
      <c r="H695" s="135"/>
      <c r="J695" s="135"/>
      <c r="K695" s="135"/>
      <c r="L695" s="71"/>
      <c r="M695" s="71"/>
      <c r="N695" s="135"/>
    </row>
    <row r="696" spans="1:14" ht="15.75" customHeight="1">
      <c r="A696" s="423"/>
      <c r="E696" s="84"/>
      <c r="G696" s="71"/>
      <c r="H696" s="135"/>
      <c r="J696" s="135"/>
      <c r="K696" s="135"/>
      <c r="L696" s="71"/>
      <c r="M696" s="71"/>
      <c r="N696" s="135"/>
    </row>
    <row r="697" spans="1:14" ht="15.75" customHeight="1">
      <c r="A697" s="423"/>
      <c r="E697" s="84"/>
      <c r="G697" s="71"/>
      <c r="H697" s="135"/>
      <c r="J697" s="135"/>
      <c r="K697" s="135"/>
      <c r="L697" s="71"/>
      <c r="M697" s="71"/>
      <c r="N697" s="135"/>
    </row>
    <row r="698" spans="1:14" ht="15.75" customHeight="1">
      <c r="A698" s="423"/>
      <c r="E698" s="84"/>
      <c r="G698" s="71"/>
      <c r="H698" s="135"/>
      <c r="J698" s="135"/>
      <c r="K698" s="135"/>
      <c r="L698" s="71"/>
      <c r="M698" s="71"/>
      <c r="N698" s="135"/>
    </row>
    <row r="699" spans="1:14" ht="15.75" customHeight="1">
      <c r="A699" s="423"/>
      <c r="E699" s="84"/>
      <c r="G699" s="71"/>
      <c r="H699" s="135"/>
      <c r="J699" s="135"/>
      <c r="K699" s="135"/>
      <c r="L699" s="71"/>
      <c r="M699" s="71"/>
      <c r="N699" s="135"/>
    </row>
    <row r="700" spans="1:14" ht="15.75" customHeight="1">
      <c r="A700" s="423"/>
      <c r="E700" s="84"/>
      <c r="G700" s="71"/>
      <c r="H700" s="135"/>
      <c r="J700" s="135"/>
      <c r="K700" s="135"/>
      <c r="L700" s="71"/>
      <c r="M700" s="71"/>
      <c r="N700" s="135"/>
    </row>
    <row r="701" spans="1:14" ht="15.75" customHeight="1">
      <c r="A701" s="423"/>
      <c r="E701" s="84"/>
      <c r="G701" s="71"/>
      <c r="H701" s="135"/>
      <c r="J701" s="135"/>
      <c r="K701" s="135"/>
      <c r="L701" s="71"/>
      <c r="M701" s="71"/>
      <c r="N701" s="135"/>
    </row>
    <row r="702" spans="1:14" ht="15.75" customHeight="1">
      <c r="A702" s="423"/>
      <c r="E702" s="84"/>
      <c r="G702" s="71"/>
      <c r="H702" s="135"/>
      <c r="J702" s="135"/>
      <c r="K702" s="135"/>
      <c r="L702" s="71"/>
      <c r="M702" s="71"/>
      <c r="N702" s="135"/>
    </row>
    <row r="703" spans="1:14" ht="15.75" customHeight="1">
      <c r="A703" s="423"/>
      <c r="E703" s="84"/>
      <c r="G703" s="71"/>
      <c r="H703" s="135"/>
      <c r="J703" s="135"/>
      <c r="K703" s="135"/>
      <c r="L703" s="71"/>
      <c r="M703" s="71"/>
      <c r="N703" s="135"/>
    </row>
    <row r="704" spans="1:14" ht="15.75" customHeight="1">
      <c r="A704" s="423"/>
      <c r="E704" s="84"/>
      <c r="G704" s="71"/>
      <c r="H704" s="135"/>
      <c r="J704" s="135"/>
      <c r="K704" s="135"/>
      <c r="L704" s="71"/>
      <c r="M704" s="71"/>
      <c r="N704" s="135"/>
    </row>
    <row r="705" spans="1:14" ht="15.75" customHeight="1">
      <c r="A705" s="423"/>
      <c r="E705" s="84"/>
      <c r="G705" s="71"/>
      <c r="H705" s="135"/>
      <c r="J705" s="135"/>
      <c r="K705" s="135"/>
      <c r="L705" s="71"/>
      <c r="M705" s="71"/>
      <c r="N705" s="135"/>
    </row>
    <row r="706" spans="1:14" ht="15.75" customHeight="1">
      <c r="A706" s="423"/>
      <c r="E706" s="84"/>
      <c r="G706" s="71"/>
      <c r="H706" s="135"/>
      <c r="J706" s="135"/>
      <c r="K706" s="135"/>
      <c r="L706" s="71"/>
      <c r="M706" s="71"/>
      <c r="N706" s="135"/>
    </row>
    <row r="707" spans="1:14" ht="15.75" customHeight="1">
      <c r="A707" s="423"/>
      <c r="E707" s="84"/>
      <c r="G707" s="71"/>
      <c r="H707" s="135"/>
      <c r="J707" s="135"/>
      <c r="K707" s="135"/>
      <c r="L707" s="71"/>
      <c r="M707" s="71"/>
      <c r="N707" s="135"/>
    </row>
    <row r="708" spans="1:14" ht="15.75" customHeight="1">
      <c r="A708" s="423"/>
      <c r="E708" s="84"/>
      <c r="G708" s="71"/>
      <c r="H708" s="135"/>
      <c r="J708" s="135"/>
      <c r="K708" s="135"/>
      <c r="L708" s="71"/>
      <c r="M708" s="71"/>
      <c r="N708" s="135"/>
    </row>
    <row r="709" spans="1:14" ht="15.75" customHeight="1">
      <c r="A709" s="423"/>
      <c r="E709" s="84"/>
      <c r="G709" s="71"/>
      <c r="H709" s="135"/>
      <c r="J709" s="135"/>
      <c r="K709" s="135"/>
      <c r="L709" s="71"/>
      <c r="M709" s="71"/>
      <c r="N709" s="135"/>
    </row>
    <row r="710" spans="1:14" ht="15.75" customHeight="1">
      <c r="A710" s="423"/>
      <c r="E710" s="84"/>
      <c r="G710" s="71"/>
      <c r="H710" s="135"/>
      <c r="J710" s="135"/>
      <c r="K710" s="135"/>
      <c r="L710" s="71"/>
      <c r="M710" s="71"/>
      <c r="N710" s="135"/>
    </row>
    <row r="711" spans="1:14" ht="15.75" customHeight="1">
      <c r="A711" s="423"/>
      <c r="E711" s="84"/>
      <c r="G711" s="71"/>
      <c r="H711" s="135"/>
      <c r="J711" s="135"/>
      <c r="K711" s="135"/>
      <c r="L711" s="71"/>
      <c r="M711" s="71"/>
      <c r="N711" s="135"/>
    </row>
    <row r="712" spans="1:14" ht="15.75" customHeight="1">
      <c r="A712" s="423"/>
      <c r="E712" s="84"/>
      <c r="G712" s="71"/>
      <c r="H712" s="135"/>
      <c r="J712" s="135"/>
      <c r="K712" s="135"/>
      <c r="L712" s="71"/>
      <c r="M712" s="71"/>
      <c r="N712" s="135"/>
    </row>
    <row r="713" spans="1:14" ht="15.75" customHeight="1">
      <c r="A713" s="423"/>
      <c r="E713" s="84"/>
      <c r="G713" s="71"/>
      <c r="H713" s="135"/>
      <c r="J713" s="135"/>
      <c r="K713" s="135"/>
      <c r="L713" s="71"/>
      <c r="M713" s="71"/>
      <c r="N713" s="135"/>
    </row>
    <row r="714" spans="1:14" ht="15.75" customHeight="1">
      <c r="A714" s="423"/>
      <c r="E714" s="84"/>
      <c r="G714" s="71"/>
      <c r="H714" s="135"/>
      <c r="J714" s="135"/>
      <c r="K714" s="135"/>
      <c r="L714" s="71"/>
      <c r="M714" s="71"/>
      <c r="N714" s="135"/>
    </row>
    <row r="715" spans="1:14" ht="15.75" customHeight="1">
      <c r="A715" s="423"/>
      <c r="E715" s="84"/>
      <c r="G715" s="71"/>
      <c r="H715" s="135"/>
      <c r="J715" s="135"/>
      <c r="K715" s="135"/>
      <c r="L715" s="71"/>
      <c r="M715" s="71"/>
      <c r="N715" s="135"/>
    </row>
    <row r="716" spans="1:14" ht="15.75" customHeight="1">
      <c r="A716" s="423"/>
      <c r="E716" s="84"/>
      <c r="G716" s="71"/>
      <c r="H716" s="135"/>
      <c r="J716" s="135"/>
      <c r="K716" s="135"/>
      <c r="L716" s="71"/>
      <c r="M716" s="71"/>
      <c r="N716" s="135"/>
    </row>
    <row r="717" spans="1:14" ht="15.75" customHeight="1">
      <c r="A717" s="423"/>
      <c r="E717" s="84"/>
      <c r="G717" s="71"/>
      <c r="H717" s="135"/>
      <c r="J717" s="135"/>
      <c r="K717" s="135"/>
      <c r="L717" s="71"/>
      <c r="M717" s="71"/>
      <c r="N717" s="135"/>
    </row>
    <row r="718" spans="1:14" ht="15.75" customHeight="1">
      <c r="A718" s="423"/>
      <c r="E718" s="84"/>
      <c r="G718" s="71"/>
      <c r="H718" s="135"/>
      <c r="J718" s="135"/>
      <c r="K718" s="135"/>
      <c r="L718" s="71"/>
      <c r="M718" s="71"/>
      <c r="N718" s="135"/>
    </row>
    <row r="719" spans="1:14" ht="15.75" customHeight="1">
      <c r="A719" s="423"/>
      <c r="E719" s="84"/>
      <c r="G719" s="71"/>
      <c r="H719" s="135"/>
      <c r="J719" s="135"/>
      <c r="K719" s="135"/>
      <c r="L719" s="71"/>
      <c r="M719" s="71"/>
      <c r="N719" s="135"/>
    </row>
    <row r="720" spans="1:14" ht="15.75" customHeight="1">
      <c r="A720" s="423"/>
      <c r="E720" s="84"/>
      <c r="G720" s="71"/>
      <c r="H720" s="135"/>
      <c r="J720" s="135"/>
      <c r="K720" s="135"/>
      <c r="L720" s="71"/>
      <c r="M720" s="71"/>
      <c r="N720" s="135"/>
    </row>
    <row r="721" spans="1:14" ht="15.75" customHeight="1">
      <c r="A721" s="423"/>
      <c r="E721" s="84"/>
      <c r="G721" s="71"/>
      <c r="H721" s="135"/>
      <c r="J721" s="135"/>
      <c r="K721" s="135"/>
      <c r="L721" s="71"/>
      <c r="M721" s="71"/>
      <c r="N721" s="135"/>
    </row>
    <row r="722" spans="1:14" ht="15.75" customHeight="1">
      <c r="A722" s="423"/>
      <c r="E722" s="84"/>
      <c r="G722" s="71"/>
      <c r="H722" s="135"/>
      <c r="J722" s="135"/>
      <c r="K722" s="135"/>
      <c r="L722" s="71"/>
      <c r="M722" s="71"/>
      <c r="N722" s="135"/>
    </row>
    <row r="723" spans="1:14" ht="15.75" customHeight="1">
      <c r="A723" s="423"/>
      <c r="E723" s="84"/>
      <c r="G723" s="71"/>
      <c r="H723" s="135"/>
      <c r="J723" s="135"/>
      <c r="K723" s="135"/>
      <c r="L723" s="71"/>
      <c r="M723" s="71"/>
      <c r="N723" s="135"/>
    </row>
    <row r="724" spans="1:14" ht="15.75" customHeight="1">
      <c r="A724" s="423"/>
      <c r="E724" s="84"/>
      <c r="G724" s="71"/>
      <c r="H724" s="135"/>
      <c r="J724" s="135"/>
      <c r="K724" s="135"/>
      <c r="L724" s="71"/>
      <c r="M724" s="71"/>
      <c r="N724" s="135"/>
    </row>
    <row r="725" spans="1:14" ht="15.75" customHeight="1">
      <c r="A725" s="423"/>
      <c r="E725" s="84"/>
      <c r="G725" s="71"/>
      <c r="H725" s="135"/>
      <c r="J725" s="135"/>
      <c r="K725" s="135"/>
      <c r="L725" s="71"/>
      <c r="M725" s="71"/>
      <c r="N725" s="135"/>
    </row>
    <row r="726" spans="1:14" ht="15.75" customHeight="1">
      <c r="A726" s="423"/>
      <c r="E726" s="84"/>
      <c r="G726" s="71"/>
      <c r="H726" s="135"/>
      <c r="J726" s="135"/>
      <c r="K726" s="135"/>
      <c r="L726" s="71"/>
      <c r="M726" s="71"/>
      <c r="N726" s="135"/>
    </row>
    <row r="727" spans="1:14" ht="15.75" customHeight="1">
      <c r="A727" s="423"/>
      <c r="E727" s="84"/>
      <c r="G727" s="71"/>
      <c r="H727" s="135"/>
      <c r="J727" s="135"/>
      <c r="K727" s="135"/>
      <c r="L727" s="71"/>
      <c r="M727" s="71"/>
      <c r="N727" s="135"/>
    </row>
    <row r="728" spans="1:14" ht="15.75" customHeight="1">
      <c r="A728" s="423"/>
      <c r="E728" s="84"/>
      <c r="G728" s="71"/>
      <c r="H728" s="135"/>
      <c r="J728" s="135"/>
      <c r="K728" s="135"/>
      <c r="L728" s="71"/>
      <c r="M728" s="71"/>
      <c r="N728" s="135"/>
    </row>
    <row r="729" spans="1:14" ht="15.75" customHeight="1">
      <c r="A729" s="423"/>
      <c r="E729" s="84"/>
      <c r="G729" s="71"/>
      <c r="H729" s="135"/>
      <c r="J729" s="135"/>
      <c r="K729" s="135"/>
      <c r="L729" s="71"/>
      <c r="M729" s="71"/>
      <c r="N729" s="135"/>
    </row>
    <row r="730" spans="1:14" ht="15.75" customHeight="1">
      <c r="A730" s="423"/>
      <c r="E730" s="84"/>
      <c r="G730" s="71"/>
      <c r="H730" s="135"/>
      <c r="J730" s="135"/>
      <c r="K730" s="135"/>
      <c r="L730" s="71"/>
      <c r="M730" s="71"/>
      <c r="N730" s="135"/>
    </row>
    <row r="731" spans="1:14" ht="15.75" customHeight="1">
      <c r="A731" s="423"/>
      <c r="E731" s="84"/>
      <c r="G731" s="71"/>
      <c r="H731" s="135"/>
      <c r="J731" s="135"/>
      <c r="K731" s="135"/>
      <c r="L731" s="71"/>
      <c r="M731" s="71"/>
      <c r="N731" s="135"/>
    </row>
    <row r="732" spans="1:14" ht="15.75" customHeight="1">
      <c r="A732" s="423"/>
      <c r="E732" s="84"/>
      <c r="G732" s="71"/>
      <c r="H732" s="135"/>
      <c r="J732" s="135"/>
      <c r="K732" s="135"/>
      <c r="L732" s="71"/>
      <c r="M732" s="71"/>
      <c r="N732" s="135"/>
    </row>
    <row r="733" spans="1:14" ht="15.75" customHeight="1">
      <c r="A733" s="423"/>
      <c r="E733" s="84"/>
      <c r="G733" s="71"/>
      <c r="H733" s="135"/>
      <c r="J733" s="135"/>
      <c r="K733" s="135"/>
      <c r="L733" s="71"/>
      <c r="M733" s="71"/>
      <c r="N733" s="135"/>
    </row>
    <row r="734" spans="1:14" ht="15.75" customHeight="1">
      <c r="A734" s="423"/>
      <c r="E734" s="84"/>
      <c r="G734" s="71"/>
      <c r="H734" s="135"/>
      <c r="J734" s="135"/>
      <c r="K734" s="135"/>
      <c r="L734" s="71"/>
      <c r="M734" s="71"/>
      <c r="N734" s="135"/>
    </row>
    <row r="735" spans="1:14" ht="15.75" customHeight="1">
      <c r="A735" s="423"/>
      <c r="E735" s="84"/>
      <c r="G735" s="71"/>
      <c r="H735" s="135"/>
      <c r="J735" s="135"/>
      <c r="K735" s="135"/>
      <c r="L735" s="71"/>
      <c r="M735" s="71"/>
      <c r="N735" s="135"/>
    </row>
    <row r="736" spans="1:14" ht="15.75" customHeight="1">
      <c r="A736" s="423"/>
      <c r="E736" s="84"/>
      <c r="G736" s="71"/>
      <c r="H736" s="135"/>
      <c r="J736" s="135"/>
      <c r="K736" s="135"/>
      <c r="L736" s="71"/>
      <c r="M736" s="71"/>
      <c r="N736" s="135"/>
    </row>
    <row r="737" spans="1:14" ht="15.75" customHeight="1">
      <c r="A737" s="423"/>
      <c r="E737" s="84"/>
      <c r="G737" s="71"/>
      <c r="H737" s="135"/>
      <c r="J737" s="135"/>
      <c r="K737" s="135"/>
      <c r="L737" s="71"/>
      <c r="M737" s="71"/>
      <c r="N737" s="135"/>
    </row>
    <row r="738" spans="1:14" ht="15.75" customHeight="1">
      <c r="A738" s="423"/>
      <c r="E738" s="84"/>
      <c r="G738" s="71"/>
      <c r="H738" s="135"/>
      <c r="J738" s="135"/>
      <c r="K738" s="135"/>
      <c r="L738" s="71"/>
      <c r="M738" s="71"/>
      <c r="N738" s="135"/>
    </row>
    <row r="739" spans="1:14" ht="15.75" customHeight="1">
      <c r="A739" s="423"/>
      <c r="E739" s="84"/>
      <c r="G739" s="71"/>
      <c r="H739" s="135"/>
      <c r="J739" s="135"/>
      <c r="K739" s="135"/>
      <c r="L739" s="71"/>
      <c r="M739" s="71"/>
      <c r="N739" s="135"/>
    </row>
    <row r="740" spans="1:14" ht="15.75" customHeight="1">
      <c r="A740" s="423"/>
      <c r="E740" s="84"/>
      <c r="G740" s="71"/>
      <c r="H740" s="135"/>
      <c r="J740" s="135"/>
      <c r="K740" s="135"/>
      <c r="L740" s="71"/>
      <c r="M740" s="71"/>
      <c r="N740" s="135"/>
    </row>
    <row r="741" spans="1:14" ht="15.75" customHeight="1">
      <c r="A741" s="423"/>
      <c r="E741" s="84"/>
      <c r="G741" s="71"/>
      <c r="H741" s="135"/>
      <c r="J741" s="135"/>
      <c r="K741" s="135"/>
      <c r="L741" s="71"/>
      <c r="M741" s="71"/>
      <c r="N741" s="135"/>
    </row>
    <row r="742" spans="1:14" ht="15.75" customHeight="1">
      <c r="A742" s="423"/>
      <c r="E742" s="84"/>
      <c r="G742" s="71"/>
      <c r="H742" s="135"/>
      <c r="J742" s="135"/>
      <c r="K742" s="135"/>
      <c r="L742" s="71"/>
      <c r="M742" s="71"/>
      <c r="N742" s="135"/>
    </row>
    <row r="743" spans="1:14" ht="15.75" customHeight="1">
      <c r="A743" s="423"/>
      <c r="E743" s="84"/>
      <c r="G743" s="71"/>
      <c r="H743" s="135"/>
      <c r="J743" s="135"/>
      <c r="K743" s="135"/>
      <c r="L743" s="71"/>
      <c r="M743" s="71"/>
      <c r="N743" s="135"/>
    </row>
    <row r="744" spans="1:14" ht="15.75" customHeight="1">
      <c r="A744" s="423"/>
      <c r="E744" s="84"/>
      <c r="G744" s="71"/>
      <c r="H744" s="135"/>
      <c r="J744" s="135"/>
      <c r="K744" s="135"/>
      <c r="L744" s="71"/>
      <c r="M744" s="71"/>
      <c r="N744" s="135"/>
    </row>
    <row r="745" spans="1:14" ht="15.75" customHeight="1">
      <c r="A745" s="423"/>
      <c r="E745" s="84"/>
      <c r="G745" s="71"/>
      <c r="H745" s="135"/>
      <c r="J745" s="135"/>
      <c r="K745" s="135"/>
      <c r="L745" s="71"/>
      <c r="M745" s="71"/>
      <c r="N745" s="135"/>
    </row>
    <row r="746" spans="1:14" ht="15.75" customHeight="1">
      <c r="A746" s="423"/>
      <c r="E746" s="84"/>
      <c r="G746" s="71"/>
      <c r="H746" s="135"/>
      <c r="J746" s="135"/>
      <c r="K746" s="135"/>
      <c r="L746" s="71"/>
      <c r="M746" s="71"/>
      <c r="N746" s="135"/>
    </row>
    <row r="747" spans="1:14" ht="15.75" customHeight="1">
      <c r="A747" s="423"/>
      <c r="E747" s="84"/>
      <c r="G747" s="71"/>
      <c r="H747" s="135"/>
      <c r="J747" s="135"/>
      <c r="K747" s="135"/>
      <c r="L747" s="71"/>
      <c r="M747" s="71"/>
      <c r="N747" s="135"/>
    </row>
    <row r="748" spans="1:14" ht="15.75" customHeight="1">
      <c r="A748" s="423"/>
      <c r="E748" s="84"/>
      <c r="G748" s="71"/>
      <c r="H748" s="135"/>
      <c r="J748" s="135"/>
      <c r="K748" s="135"/>
      <c r="L748" s="71"/>
      <c r="M748" s="71"/>
      <c r="N748" s="135"/>
    </row>
    <row r="749" spans="1:14" ht="15.75" customHeight="1">
      <c r="A749" s="423"/>
      <c r="E749" s="84"/>
      <c r="G749" s="71"/>
      <c r="H749" s="135"/>
      <c r="J749" s="135"/>
      <c r="K749" s="135"/>
      <c r="L749" s="71"/>
      <c r="M749" s="71"/>
      <c r="N749" s="135"/>
    </row>
    <row r="750" spans="1:14" ht="15.75" customHeight="1">
      <c r="A750" s="423"/>
      <c r="E750" s="84"/>
      <c r="G750" s="71"/>
      <c r="H750" s="135"/>
      <c r="J750" s="135"/>
      <c r="K750" s="135"/>
      <c r="L750" s="71"/>
      <c r="M750" s="71"/>
      <c r="N750" s="135"/>
    </row>
    <row r="751" spans="1:14" ht="15.75" customHeight="1">
      <c r="A751" s="423"/>
      <c r="E751" s="84"/>
      <c r="G751" s="71"/>
      <c r="H751" s="135"/>
      <c r="J751" s="135"/>
      <c r="K751" s="135"/>
      <c r="L751" s="71"/>
      <c r="M751" s="71"/>
      <c r="N751" s="135"/>
    </row>
    <row r="752" spans="1:14" ht="15.75" customHeight="1">
      <c r="A752" s="423"/>
      <c r="E752" s="84"/>
      <c r="G752" s="71"/>
      <c r="H752" s="135"/>
      <c r="J752" s="135"/>
      <c r="K752" s="135"/>
      <c r="L752" s="71"/>
      <c r="M752" s="71"/>
      <c r="N752" s="135"/>
    </row>
    <row r="753" spans="1:14" ht="15.75" customHeight="1">
      <c r="A753" s="423"/>
      <c r="E753" s="84"/>
      <c r="G753" s="71"/>
      <c r="H753" s="135"/>
      <c r="J753" s="135"/>
      <c r="K753" s="135"/>
      <c r="L753" s="71"/>
      <c r="M753" s="71"/>
      <c r="N753" s="135"/>
    </row>
    <row r="754" spans="1:14" ht="15.75" customHeight="1">
      <c r="A754" s="423"/>
      <c r="E754" s="84"/>
      <c r="G754" s="71"/>
      <c r="H754" s="135"/>
      <c r="J754" s="135"/>
      <c r="K754" s="135"/>
      <c r="L754" s="71"/>
      <c r="M754" s="71"/>
      <c r="N754" s="135"/>
    </row>
    <row r="755" spans="1:14" ht="15.75" customHeight="1">
      <c r="A755" s="423"/>
      <c r="E755" s="84"/>
      <c r="G755" s="71"/>
      <c r="H755" s="135"/>
      <c r="J755" s="135"/>
      <c r="K755" s="135"/>
      <c r="L755" s="71"/>
      <c r="M755" s="71"/>
      <c r="N755" s="135"/>
    </row>
    <row r="756" spans="1:14" ht="15.75" customHeight="1">
      <c r="A756" s="423"/>
      <c r="E756" s="84"/>
      <c r="G756" s="71"/>
      <c r="H756" s="135"/>
      <c r="J756" s="135"/>
      <c r="K756" s="135"/>
      <c r="L756" s="71"/>
      <c r="M756" s="71"/>
      <c r="N756" s="135"/>
    </row>
    <row r="757" spans="1:14" ht="15.75" customHeight="1">
      <c r="A757" s="423"/>
      <c r="E757" s="84"/>
      <c r="G757" s="71"/>
      <c r="H757" s="135"/>
      <c r="J757" s="135"/>
      <c r="K757" s="135"/>
      <c r="L757" s="71"/>
      <c r="M757" s="71"/>
      <c r="N757" s="135"/>
    </row>
    <row r="758" spans="1:14" ht="15.75" customHeight="1">
      <c r="A758" s="423"/>
      <c r="E758" s="84"/>
      <c r="G758" s="71"/>
      <c r="H758" s="135"/>
      <c r="J758" s="135"/>
      <c r="K758" s="135"/>
      <c r="L758" s="71"/>
      <c r="M758" s="71"/>
      <c r="N758" s="135"/>
    </row>
    <row r="759" spans="1:14" ht="15.75" customHeight="1">
      <c r="A759" s="423"/>
      <c r="E759" s="84"/>
      <c r="G759" s="71"/>
      <c r="H759" s="135"/>
      <c r="J759" s="135"/>
      <c r="K759" s="135"/>
      <c r="L759" s="71"/>
      <c r="M759" s="71"/>
      <c r="N759" s="135"/>
    </row>
    <row r="760" spans="1:14" ht="15.75" customHeight="1">
      <c r="A760" s="423"/>
      <c r="E760" s="84"/>
      <c r="G760" s="71"/>
      <c r="H760" s="135"/>
      <c r="J760" s="135"/>
      <c r="K760" s="135"/>
      <c r="L760" s="71"/>
      <c r="M760" s="71"/>
      <c r="N760" s="135"/>
    </row>
    <row r="761" spans="1:14" ht="15.75" customHeight="1">
      <c r="A761" s="423"/>
      <c r="E761" s="84"/>
      <c r="G761" s="71"/>
      <c r="H761" s="135"/>
      <c r="J761" s="135"/>
      <c r="K761" s="135"/>
      <c r="L761" s="71"/>
      <c r="M761" s="71"/>
      <c r="N761" s="135"/>
    </row>
    <row r="762" spans="1:14" ht="15.75" customHeight="1">
      <c r="A762" s="423"/>
      <c r="E762" s="84"/>
      <c r="G762" s="71"/>
      <c r="H762" s="135"/>
      <c r="J762" s="135"/>
      <c r="K762" s="135"/>
      <c r="L762" s="71"/>
      <c r="M762" s="71"/>
      <c r="N762" s="135"/>
    </row>
    <row r="763" spans="1:14" ht="15.75" customHeight="1">
      <c r="A763" s="423"/>
      <c r="E763" s="84"/>
      <c r="G763" s="71"/>
      <c r="H763" s="135"/>
      <c r="J763" s="135"/>
      <c r="K763" s="135"/>
      <c r="L763" s="71"/>
      <c r="M763" s="71"/>
      <c r="N763" s="135"/>
    </row>
    <row r="764" spans="1:14" ht="15.75" customHeight="1">
      <c r="A764" s="423"/>
      <c r="E764" s="84"/>
      <c r="G764" s="71"/>
      <c r="H764" s="135"/>
      <c r="J764" s="135"/>
      <c r="K764" s="135"/>
      <c r="L764" s="71"/>
      <c r="M764" s="71"/>
      <c r="N764" s="135"/>
    </row>
    <row r="765" spans="1:14" ht="15.75" customHeight="1">
      <c r="A765" s="423"/>
      <c r="E765" s="84"/>
      <c r="G765" s="71"/>
      <c r="H765" s="135"/>
      <c r="J765" s="135"/>
      <c r="K765" s="135"/>
      <c r="L765" s="71"/>
      <c r="M765" s="71"/>
      <c r="N765" s="135"/>
    </row>
    <row r="766" spans="1:14" ht="15.75" customHeight="1">
      <c r="A766" s="423"/>
      <c r="E766" s="84"/>
      <c r="G766" s="71"/>
      <c r="H766" s="135"/>
      <c r="J766" s="135"/>
      <c r="K766" s="135"/>
      <c r="L766" s="71"/>
      <c r="M766" s="71"/>
      <c r="N766" s="135"/>
    </row>
    <row r="767" spans="1:14" ht="15.75" customHeight="1">
      <c r="A767" s="423"/>
      <c r="E767" s="84"/>
      <c r="G767" s="71"/>
      <c r="H767" s="135"/>
      <c r="J767" s="135"/>
      <c r="K767" s="135"/>
      <c r="L767" s="71"/>
      <c r="M767" s="71"/>
      <c r="N767" s="135"/>
    </row>
    <row r="768" spans="1:14" ht="15.75" customHeight="1">
      <c r="A768" s="423"/>
      <c r="E768" s="84"/>
      <c r="G768" s="71"/>
      <c r="H768" s="135"/>
      <c r="J768" s="135"/>
      <c r="K768" s="135"/>
      <c r="L768" s="71"/>
      <c r="M768" s="71"/>
      <c r="N768" s="135"/>
    </row>
    <row r="769" spans="1:14" ht="15.75" customHeight="1">
      <c r="A769" s="423"/>
      <c r="E769" s="84"/>
      <c r="G769" s="71"/>
      <c r="H769" s="135"/>
      <c r="J769" s="135"/>
      <c r="K769" s="135"/>
      <c r="L769" s="71"/>
      <c r="M769" s="71"/>
      <c r="N769" s="135"/>
    </row>
    <row r="770" spans="1:14" ht="15.75" customHeight="1">
      <c r="A770" s="423"/>
      <c r="E770" s="84"/>
      <c r="G770" s="71"/>
      <c r="H770" s="135"/>
      <c r="J770" s="135"/>
      <c r="K770" s="135"/>
      <c r="L770" s="71"/>
      <c r="M770" s="71"/>
      <c r="N770" s="135"/>
    </row>
    <row r="771" spans="1:14" ht="15.75" customHeight="1">
      <c r="A771" s="423"/>
      <c r="E771" s="84"/>
      <c r="G771" s="71"/>
      <c r="H771" s="135"/>
      <c r="J771" s="135"/>
      <c r="K771" s="135"/>
      <c r="L771" s="71"/>
      <c r="M771" s="71"/>
      <c r="N771" s="135"/>
    </row>
    <row r="772" spans="1:14" ht="15.75" customHeight="1">
      <c r="A772" s="423"/>
      <c r="E772" s="84"/>
      <c r="G772" s="71"/>
      <c r="H772" s="135"/>
      <c r="J772" s="135"/>
      <c r="K772" s="135"/>
      <c r="L772" s="71"/>
      <c r="M772" s="71"/>
      <c r="N772" s="135"/>
    </row>
    <row r="773" spans="1:14" ht="15.75" customHeight="1">
      <c r="A773" s="423"/>
      <c r="E773" s="84"/>
      <c r="G773" s="71"/>
      <c r="H773" s="135"/>
      <c r="J773" s="135"/>
      <c r="K773" s="135"/>
      <c r="L773" s="71"/>
      <c r="M773" s="71"/>
      <c r="N773" s="135"/>
    </row>
    <row r="774" spans="1:14" ht="15.75" customHeight="1">
      <c r="A774" s="423"/>
      <c r="E774" s="84"/>
      <c r="G774" s="71"/>
      <c r="H774" s="135"/>
      <c r="J774" s="135"/>
      <c r="K774" s="135"/>
      <c r="L774" s="71"/>
      <c r="M774" s="71"/>
      <c r="N774" s="135"/>
    </row>
    <row r="775" spans="1:14" ht="15.75" customHeight="1">
      <c r="A775" s="423"/>
      <c r="E775" s="84"/>
      <c r="G775" s="71"/>
      <c r="H775" s="135"/>
      <c r="J775" s="135"/>
      <c r="K775" s="135"/>
      <c r="L775" s="71"/>
      <c r="M775" s="71"/>
      <c r="N775" s="135"/>
    </row>
    <row r="776" spans="1:14" ht="15.75" customHeight="1">
      <c r="A776" s="423"/>
      <c r="E776" s="84"/>
      <c r="G776" s="71"/>
      <c r="H776" s="135"/>
      <c r="J776" s="135"/>
      <c r="K776" s="135"/>
      <c r="L776" s="71"/>
      <c r="M776" s="71"/>
      <c r="N776" s="135"/>
    </row>
    <row r="777" spans="1:14" ht="15.75" customHeight="1">
      <c r="A777" s="423"/>
      <c r="E777" s="84"/>
      <c r="G777" s="71"/>
      <c r="H777" s="135"/>
      <c r="J777" s="135"/>
      <c r="K777" s="135"/>
      <c r="L777" s="71"/>
      <c r="M777" s="71"/>
      <c r="N777" s="135"/>
    </row>
    <row r="778" spans="1:14" ht="15.75" customHeight="1">
      <c r="A778" s="423"/>
      <c r="E778" s="84"/>
      <c r="G778" s="71"/>
      <c r="H778" s="135"/>
      <c r="J778" s="135"/>
      <c r="K778" s="135"/>
      <c r="L778" s="71"/>
      <c r="M778" s="71"/>
      <c r="N778" s="135"/>
    </row>
    <row r="779" spans="1:14" ht="15.75" customHeight="1">
      <c r="A779" s="423"/>
      <c r="E779" s="84"/>
      <c r="G779" s="71"/>
      <c r="H779" s="135"/>
      <c r="J779" s="135"/>
      <c r="K779" s="135"/>
      <c r="L779" s="71"/>
      <c r="M779" s="71"/>
      <c r="N779" s="135"/>
    </row>
    <row r="780" spans="1:14" ht="15.75" customHeight="1">
      <c r="A780" s="423"/>
      <c r="E780" s="84"/>
      <c r="G780" s="71"/>
      <c r="H780" s="135"/>
      <c r="J780" s="135"/>
      <c r="K780" s="135"/>
      <c r="L780" s="71"/>
      <c r="M780" s="71"/>
      <c r="N780" s="135"/>
    </row>
    <row r="781" spans="1:14" ht="15.75" customHeight="1">
      <c r="A781" s="423"/>
      <c r="E781" s="84"/>
      <c r="G781" s="71"/>
      <c r="H781" s="135"/>
      <c r="J781" s="135"/>
      <c r="K781" s="135"/>
      <c r="L781" s="71"/>
      <c r="M781" s="71"/>
      <c r="N781" s="135"/>
    </row>
    <row r="782" spans="1:14" ht="15.75" customHeight="1">
      <c r="A782" s="423"/>
      <c r="E782" s="84"/>
      <c r="G782" s="71"/>
      <c r="H782" s="135"/>
      <c r="J782" s="135"/>
      <c r="K782" s="135"/>
      <c r="L782" s="71"/>
      <c r="M782" s="71"/>
      <c r="N782" s="135"/>
    </row>
    <row r="783" spans="1:14" ht="15.75" customHeight="1">
      <c r="A783" s="423"/>
      <c r="E783" s="84"/>
      <c r="G783" s="71"/>
      <c r="H783" s="135"/>
      <c r="J783" s="135"/>
      <c r="K783" s="135"/>
      <c r="L783" s="71"/>
      <c r="M783" s="71"/>
      <c r="N783" s="135"/>
    </row>
    <row r="784" spans="1:14" ht="15.75" customHeight="1">
      <c r="A784" s="423"/>
      <c r="E784" s="84"/>
      <c r="G784" s="71"/>
      <c r="H784" s="135"/>
      <c r="J784" s="135"/>
      <c r="K784" s="135"/>
      <c r="L784" s="71"/>
      <c r="M784" s="71"/>
      <c r="N784" s="135"/>
    </row>
    <row r="785" spans="1:14" ht="15.75" customHeight="1">
      <c r="A785" s="423"/>
      <c r="E785" s="84"/>
      <c r="G785" s="71"/>
      <c r="H785" s="135"/>
      <c r="J785" s="135"/>
      <c r="K785" s="135"/>
      <c r="L785" s="71"/>
      <c r="M785" s="71"/>
      <c r="N785" s="135"/>
    </row>
    <row r="786" spans="1:14" ht="15.75" customHeight="1">
      <c r="A786" s="423"/>
      <c r="E786" s="84"/>
      <c r="G786" s="71"/>
      <c r="H786" s="135"/>
      <c r="J786" s="135"/>
      <c r="K786" s="135"/>
      <c r="L786" s="71"/>
      <c r="M786" s="71"/>
      <c r="N786" s="135"/>
    </row>
    <row r="787" spans="1:14" ht="15.75" customHeight="1">
      <c r="A787" s="423"/>
      <c r="E787" s="84"/>
      <c r="G787" s="71"/>
      <c r="H787" s="135"/>
      <c r="J787" s="135"/>
      <c r="K787" s="135"/>
      <c r="L787" s="71"/>
      <c r="M787" s="71"/>
      <c r="N787" s="135"/>
    </row>
    <row r="788" spans="1:14" ht="15.75" customHeight="1">
      <c r="A788" s="423"/>
      <c r="E788" s="84"/>
      <c r="G788" s="71"/>
      <c r="H788" s="135"/>
      <c r="J788" s="135"/>
      <c r="K788" s="135"/>
      <c r="L788" s="71"/>
      <c r="M788" s="71"/>
      <c r="N788" s="135"/>
    </row>
    <row r="789" spans="1:14" ht="15.75" customHeight="1">
      <c r="A789" s="423"/>
      <c r="E789" s="84"/>
      <c r="G789" s="71"/>
      <c r="H789" s="135"/>
      <c r="J789" s="135"/>
      <c r="K789" s="135"/>
      <c r="L789" s="71"/>
      <c r="M789" s="71"/>
      <c r="N789" s="135"/>
    </row>
    <row r="790" spans="1:14" ht="15.75" customHeight="1">
      <c r="A790" s="423"/>
      <c r="E790" s="84"/>
      <c r="G790" s="71"/>
      <c r="H790" s="135"/>
      <c r="J790" s="135"/>
      <c r="K790" s="135"/>
      <c r="L790" s="71"/>
      <c r="M790" s="71"/>
      <c r="N790" s="135"/>
    </row>
    <row r="791" spans="1:14" ht="15.75" customHeight="1">
      <c r="A791" s="423"/>
      <c r="E791" s="84"/>
      <c r="G791" s="71"/>
      <c r="H791" s="135"/>
      <c r="J791" s="135"/>
      <c r="K791" s="135"/>
      <c r="L791" s="71"/>
      <c r="M791" s="71"/>
      <c r="N791" s="135"/>
    </row>
    <row r="792" spans="1:14" ht="15.75" customHeight="1">
      <c r="A792" s="423"/>
      <c r="E792" s="84"/>
      <c r="G792" s="71"/>
      <c r="H792" s="135"/>
      <c r="J792" s="135"/>
      <c r="K792" s="135"/>
      <c r="L792" s="71"/>
      <c r="M792" s="71"/>
      <c r="N792" s="135"/>
    </row>
    <row r="793" spans="1:14" ht="15.75" customHeight="1">
      <c r="A793" s="423"/>
      <c r="E793" s="84"/>
      <c r="G793" s="71"/>
      <c r="H793" s="135"/>
      <c r="J793" s="135"/>
      <c r="K793" s="135"/>
      <c r="L793" s="71"/>
      <c r="M793" s="71"/>
      <c r="N793" s="135"/>
    </row>
    <row r="794" spans="1:14" ht="15.75" customHeight="1">
      <c r="A794" s="423"/>
      <c r="E794" s="84"/>
      <c r="G794" s="71"/>
      <c r="H794" s="135"/>
      <c r="J794" s="135"/>
      <c r="K794" s="135"/>
      <c r="L794" s="71"/>
      <c r="M794" s="71"/>
      <c r="N794" s="135"/>
    </row>
    <row r="795" spans="1:14" ht="15.75" customHeight="1">
      <c r="A795" s="423"/>
      <c r="E795" s="84"/>
      <c r="G795" s="71"/>
      <c r="H795" s="135"/>
      <c r="J795" s="135"/>
      <c r="K795" s="135"/>
      <c r="L795" s="71"/>
      <c r="M795" s="71"/>
      <c r="N795" s="135"/>
    </row>
    <row r="796" spans="1:14" ht="15.75" customHeight="1">
      <c r="A796" s="423"/>
      <c r="E796" s="84"/>
      <c r="G796" s="71"/>
      <c r="H796" s="135"/>
      <c r="J796" s="135"/>
      <c r="K796" s="135"/>
      <c r="L796" s="71"/>
      <c r="M796" s="71"/>
      <c r="N796" s="135"/>
    </row>
    <row r="797" spans="1:14" ht="15.75" customHeight="1">
      <c r="A797" s="423"/>
      <c r="E797" s="84"/>
      <c r="G797" s="71"/>
      <c r="H797" s="135"/>
      <c r="J797" s="135"/>
      <c r="K797" s="135"/>
      <c r="L797" s="71"/>
      <c r="M797" s="71"/>
      <c r="N797" s="135"/>
    </row>
    <row r="798" spans="1:14" ht="15.75" customHeight="1">
      <c r="A798" s="423"/>
      <c r="E798" s="84"/>
      <c r="G798" s="71"/>
      <c r="H798" s="135"/>
      <c r="J798" s="135"/>
      <c r="K798" s="135"/>
      <c r="L798" s="71"/>
      <c r="M798" s="71"/>
      <c r="N798" s="135"/>
    </row>
    <row r="799" spans="1:14" ht="15.75" customHeight="1">
      <c r="A799" s="423"/>
      <c r="E799" s="84"/>
      <c r="G799" s="71"/>
      <c r="H799" s="135"/>
      <c r="J799" s="135"/>
      <c r="K799" s="135"/>
      <c r="L799" s="71"/>
      <c r="M799" s="71"/>
      <c r="N799" s="135"/>
    </row>
    <row r="800" spans="1:14" ht="15.75" customHeight="1">
      <c r="A800" s="423"/>
      <c r="E800" s="84"/>
      <c r="G800" s="71"/>
      <c r="H800" s="135"/>
      <c r="J800" s="135"/>
      <c r="K800" s="135"/>
      <c r="L800" s="71"/>
      <c r="M800" s="71"/>
      <c r="N800" s="135"/>
    </row>
    <row r="801" spans="1:14" ht="15.75" customHeight="1">
      <c r="A801" s="423"/>
      <c r="E801" s="84"/>
      <c r="G801" s="71"/>
      <c r="H801" s="135"/>
      <c r="J801" s="135"/>
      <c r="K801" s="135"/>
      <c r="L801" s="71"/>
      <c r="M801" s="71"/>
      <c r="N801" s="135"/>
    </row>
    <row r="802" spans="1:14" ht="15.75" customHeight="1">
      <c r="A802" s="423"/>
      <c r="E802" s="84"/>
      <c r="G802" s="71"/>
      <c r="H802" s="135"/>
      <c r="J802" s="135"/>
      <c r="K802" s="135"/>
      <c r="L802" s="71"/>
      <c r="M802" s="71"/>
      <c r="N802" s="135"/>
    </row>
    <row r="803" spans="1:14" ht="15.75" customHeight="1">
      <c r="A803" s="423"/>
      <c r="E803" s="84"/>
      <c r="G803" s="71"/>
      <c r="H803" s="135"/>
      <c r="J803" s="135"/>
      <c r="K803" s="135"/>
      <c r="L803" s="71"/>
      <c r="M803" s="71"/>
      <c r="N803" s="135"/>
    </row>
    <row r="804" spans="1:14" ht="15.75" customHeight="1">
      <c r="A804" s="423"/>
      <c r="E804" s="84"/>
      <c r="G804" s="71"/>
      <c r="H804" s="135"/>
      <c r="J804" s="135"/>
      <c r="K804" s="135"/>
      <c r="L804" s="71"/>
      <c r="M804" s="71"/>
      <c r="N804" s="135"/>
    </row>
    <row r="805" spans="1:14" ht="15.75" customHeight="1">
      <c r="A805" s="423"/>
      <c r="E805" s="84"/>
      <c r="G805" s="71"/>
      <c r="H805" s="135"/>
      <c r="J805" s="135"/>
      <c r="K805" s="135"/>
      <c r="L805" s="71"/>
      <c r="M805" s="71"/>
      <c r="N805" s="135"/>
    </row>
    <row r="806" spans="1:14" ht="15.75" customHeight="1">
      <c r="A806" s="423"/>
      <c r="E806" s="84"/>
      <c r="G806" s="71"/>
      <c r="H806" s="135"/>
      <c r="J806" s="135"/>
      <c r="K806" s="135"/>
      <c r="L806" s="71"/>
      <c r="M806" s="71"/>
      <c r="N806" s="135"/>
    </row>
    <row r="807" spans="1:14" ht="15.75" customHeight="1">
      <c r="A807" s="423"/>
      <c r="E807" s="84"/>
      <c r="G807" s="71"/>
      <c r="H807" s="135"/>
      <c r="J807" s="135"/>
      <c r="K807" s="135"/>
      <c r="L807" s="71"/>
      <c r="M807" s="71"/>
      <c r="N807" s="135"/>
    </row>
    <row r="808" spans="1:14" ht="15.75" customHeight="1">
      <c r="A808" s="423"/>
      <c r="E808" s="84"/>
      <c r="G808" s="71"/>
      <c r="H808" s="135"/>
      <c r="J808" s="135"/>
      <c r="K808" s="135"/>
      <c r="L808" s="71"/>
      <c r="M808" s="71"/>
      <c r="N808" s="135"/>
    </row>
    <row r="809" spans="1:14" ht="15.75" customHeight="1">
      <c r="A809" s="423"/>
      <c r="E809" s="84"/>
      <c r="G809" s="71"/>
      <c r="H809" s="135"/>
      <c r="J809" s="135"/>
      <c r="K809" s="135"/>
      <c r="L809" s="71"/>
      <c r="M809" s="71"/>
      <c r="N809" s="135"/>
    </row>
    <row r="810" spans="1:14" ht="15.75" customHeight="1">
      <c r="A810" s="423"/>
      <c r="E810" s="84"/>
      <c r="G810" s="71"/>
      <c r="H810" s="135"/>
      <c r="J810" s="135"/>
      <c r="K810" s="135"/>
      <c r="L810" s="71"/>
      <c r="M810" s="71"/>
      <c r="N810" s="135"/>
    </row>
    <row r="811" spans="1:14" ht="15.75" customHeight="1">
      <c r="A811" s="423"/>
      <c r="E811" s="84"/>
      <c r="G811" s="71"/>
      <c r="H811" s="135"/>
      <c r="J811" s="135"/>
      <c r="K811" s="135"/>
      <c r="L811" s="71"/>
      <c r="M811" s="71"/>
      <c r="N811" s="135"/>
    </row>
    <row r="812" spans="1:14" ht="15.75" customHeight="1">
      <c r="A812" s="423"/>
      <c r="E812" s="84"/>
      <c r="G812" s="71"/>
      <c r="H812" s="135"/>
      <c r="J812" s="135"/>
      <c r="K812" s="135"/>
      <c r="L812" s="71"/>
      <c r="M812" s="71"/>
      <c r="N812" s="135"/>
    </row>
    <row r="813" spans="1:14" ht="15.75" customHeight="1">
      <c r="A813" s="423"/>
      <c r="E813" s="84"/>
      <c r="G813" s="71"/>
      <c r="H813" s="135"/>
      <c r="J813" s="135"/>
      <c r="K813" s="135"/>
      <c r="L813" s="71"/>
      <c r="M813" s="71"/>
      <c r="N813" s="135"/>
    </row>
    <row r="814" spans="1:14" ht="15.75" customHeight="1">
      <c r="A814" s="423"/>
      <c r="E814" s="84"/>
      <c r="G814" s="71"/>
      <c r="H814" s="135"/>
      <c r="J814" s="135"/>
      <c r="K814" s="135"/>
      <c r="L814" s="71"/>
      <c r="M814" s="71"/>
      <c r="N814" s="135"/>
    </row>
    <row r="815" spans="1:14" ht="15.75" customHeight="1">
      <c r="A815" s="423"/>
      <c r="E815" s="84"/>
      <c r="G815" s="71"/>
      <c r="H815" s="135"/>
      <c r="J815" s="135"/>
      <c r="K815" s="135"/>
      <c r="L815" s="71"/>
      <c r="M815" s="71"/>
      <c r="N815" s="135"/>
    </row>
    <row r="816" spans="1:14" ht="15.75" customHeight="1">
      <c r="A816" s="423"/>
      <c r="E816" s="84"/>
      <c r="G816" s="71"/>
      <c r="H816" s="135"/>
      <c r="J816" s="135"/>
      <c r="K816" s="135"/>
      <c r="L816" s="71"/>
      <c r="M816" s="71"/>
      <c r="N816" s="135"/>
    </row>
    <row r="817" spans="1:14" ht="15.75" customHeight="1">
      <c r="A817" s="423"/>
      <c r="E817" s="84"/>
      <c r="G817" s="71"/>
      <c r="H817" s="135"/>
      <c r="J817" s="135"/>
      <c r="K817" s="135"/>
      <c r="L817" s="71"/>
      <c r="M817" s="71"/>
      <c r="N817" s="135"/>
    </row>
    <row r="818" spans="1:14" ht="15.75" customHeight="1">
      <c r="A818" s="423"/>
      <c r="E818" s="84"/>
      <c r="G818" s="71"/>
      <c r="H818" s="135"/>
      <c r="J818" s="135"/>
      <c r="K818" s="135"/>
      <c r="L818" s="71"/>
      <c r="M818" s="71"/>
      <c r="N818" s="135"/>
    </row>
    <row r="819" spans="1:14" ht="15.75" customHeight="1">
      <c r="A819" s="423"/>
      <c r="E819" s="84"/>
      <c r="G819" s="71"/>
      <c r="H819" s="135"/>
      <c r="J819" s="135"/>
      <c r="K819" s="135"/>
      <c r="L819" s="71"/>
      <c r="M819" s="71"/>
      <c r="N819" s="135"/>
    </row>
    <row r="820" spans="1:14" ht="15.75" customHeight="1">
      <c r="A820" s="423"/>
      <c r="E820" s="84"/>
      <c r="G820" s="71"/>
      <c r="H820" s="135"/>
      <c r="J820" s="135"/>
      <c r="K820" s="135"/>
      <c r="L820" s="71"/>
      <c r="M820" s="71"/>
      <c r="N820" s="135"/>
    </row>
    <row r="821" spans="1:14" ht="15.75" customHeight="1">
      <c r="A821" s="423"/>
      <c r="E821" s="84"/>
      <c r="G821" s="71"/>
      <c r="H821" s="135"/>
      <c r="J821" s="135"/>
      <c r="K821" s="135"/>
      <c r="L821" s="71"/>
      <c r="M821" s="71"/>
      <c r="N821" s="135"/>
    </row>
    <row r="822" spans="1:14" ht="15.75" customHeight="1">
      <c r="A822" s="423"/>
      <c r="E822" s="84"/>
      <c r="G822" s="71"/>
      <c r="H822" s="135"/>
      <c r="J822" s="135"/>
      <c r="K822" s="135"/>
      <c r="L822" s="71"/>
      <c r="M822" s="71"/>
      <c r="N822" s="135"/>
    </row>
    <row r="823" spans="1:14" ht="15.75" customHeight="1">
      <c r="A823" s="423"/>
      <c r="E823" s="84"/>
      <c r="G823" s="71"/>
      <c r="H823" s="135"/>
      <c r="J823" s="135"/>
      <c r="K823" s="135"/>
      <c r="L823" s="71"/>
      <c r="M823" s="71"/>
      <c r="N823" s="135"/>
    </row>
    <row r="824" spans="1:14" ht="15.75" customHeight="1">
      <c r="A824" s="423"/>
      <c r="E824" s="84"/>
      <c r="G824" s="71"/>
      <c r="H824" s="135"/>
      <c r="J824" s="135"/>
      <c r="K824" s="135"/>
      <c r="L824" s="71"/>
      <c r="M824" s="71"/>
      <c r="N824" s="135"/>
    </row>
    <row r="825" spans="1:14" ht="15.75" customHeight="1">
      <c r="A825" s="423"/>
      <c r="E825" s="84"/>
      <c r="G825" s="71"/>
      <c r="H825" s="135"/>
      <c r="J825" s="135"/>
      <c r="K825" s="135"/>
      <c r="L825" s="71"/>
      <c r="M825" s="71"/>
      <c r="N825" s="135"/>
    </row>
    <row r="826" spans="1:14" ht="15.75" customHeight="1">
      <c r="A826" s="423"/>
      <c r="E826" s="84"/>
      <c r="G826" s="71"/>
      <c r="H826" s="135"/>
      <c r="J826" s="135"/>
      <c r="K826" s="135"/>
      <c r="L826" s="71"/>
      <c r="M826" s="71"/>
      <c r="N826" s="135"/>
    </row>
    <row r="827" spans="1:14" ht="15.75" customHeight="1">
      <c r="A827" s="423"/>
      <c r="E827" s="84"/>
      <c r="G827" s="71"/>
      <c r="H827" s="135"/>
      <c r="J827" s="135"/>
      <c r="K827" s="135"/>
      <c r="L827" s="71"/>
      <c r="M827" s="71"/>
      <c r="N827" s="135"/>
    </row>
    <row r="828" spans="1:14" ht="15.75" customHeight="1">
      <c r="A828" s="423"/>
      <c r="E828" s="84"/>
      <c r="G828" s="71"/>
      <c r="H828" s="135"/>
      <c r="J828" s="135"/>
      <c r="K828" s="135"/>
      <c r="L828" s="71"/>
      <c r="M828" s="71"/>
      <c r="N828" s="135"/>
    </row>
    <row r="829" spans="1:14" ht="15.75" customHeight="1">
      <c r="A829" s="423"/>
      <c r="E829" s="84"/>
      <c r="G829" s="71"/>
      <c r="H829" s="135"/>
      <c r="J829" s="135"/>
      <c r="K829" s="135"/>
      <c r="L829" s="71"/>
      <c r="M829" s="71"/>
      <c r="N829" s="135"/>
    </row>
    <row r="830" spans="1:14" ht="15.75" customHeight="1">
      <c r="A830" s="423"/>
      <c r="E830" s="84"/>
      <c r="G830" s="71"/>
      <c r="H830" s="135"/>
      <c r="J830" s="135"/>
      <c r="K830" s="135"/>
      <c r="L830" s="71"/>
      <c r="M830" s="71"/>
      <c r="N830" s="135"/>
    </row>
    <row r="831" spans="1:14" ht="15.75" customHeight="1">
      <c r="A831" s="423"/>
      <c r="E831" s="84"/>
      <c r="G831" s="71"/>
      <c r="H831" s="135"/>
      <c r="J831" s="135"/>
      <c r="K831" s="135"/>
      <c r="L831" s="71"/>
      <c r="M831" s="71"/>
      <c r="N831" s="135"/>
    </row>
    <row r="832" spans="1:14" ht="15.75" customHeight="1">
      <c r="A832" s="423"/>
      <c r="E832" s="84"/>
      <c r="G832" s="71"/>
      <c r="H832" s="135"/>
      <c r="J832" s="135"/>
      <c r="K832" s="135"/>
      <c r="L832" s="71"/>
      <c r="M832" s="71"/>
      <c r="N832" s="135"/>
    </row>
    <row r="833" spans="1:14" ht="15.75" customHeight="1">
      <c r="A833" s="423"/>
      <c r="E833" s="84"/>
      <c r="G833" s="71"/>
      <c r="H833" s="135"/>
      <c r="J833" s="135"/>
      <c r="K833" s="135"/>
      <c r="L833" s="71"/>
      <c r="M833" s="71"/>
      <c r="N833" s="135"/>
    </row>
    <row r="834" spans="1:14" ht="15.75" customHeight="1">
      <c r="A834" s="423"/>
      <c r="E834" s="84"/>
      <c r="G834" s="71"/>
      <c r="H834" s="135"/>
      <c r="J834" s="135"/>
      <c r="K834" s="135"/>
      <c r="L834" s="71"/>
      <c r="M834" s="71"/>
      <c r="N834" s="135"/>
    </row>
    <row r="835" spans="1:14" ht="15.75" customHeight="1">
      <c r="A835" s="423"/>
      <c r="E835" s="84"/>
      <c r="G835" s="71"/>
      <c r="H835" s="135"/>
      <c r="J835" s="135"/>
      <c r="K835" s="135"/>
      <c r="L835" s="71"/>
      <c r="M835" s="71"/>
      <c r="N835" s="135"/>
    </row>
    <row r="836" spans="1:14" ht="15.75" customHeight="1">
      <c r="A836" s="423"/>
      <c r="E836" s="84"/>
      <c r="G836" s="71"/>
      <c r="H836" s="135"/>
      <c r="J836" s="135"/>
      <c r="K836" s="135"/>
      <c r="L836" s="71"/>
      <c r="M836" s="71"/>
      <c r="N836" s="135"/>
    </row>
    <row r="837" spans="1:14" ht="15.75" customHeight="1">
      <c r="A837" s="423"/>
      <c r="E837" s="84"/>
      <c r="G837" s="71"/>
      <c r="H837" s="135"/>
      <c r="J837" s="135"/>
      <c r="K837" s="135"/>
      <c r="L837" s="71"/>
      <c r="M837" s="71"/>
      <c r="N837" s="135"/>
    </row>
    <row r="838" spans="1:14" ht="15.75" customHeight="1">
      <c r="A838" s="423"/>
      <c r="E838" s="84"/>
      <c r="G838" s="71"/>
      <c r="H838" s="135"/>
      <c r="J838" s="135"/>
      <c r="K838" s="135"/>
      <c r="L838" s="71"/>
      <c r="M838" s="71"/>
      <c r="N838" s="135"/>
    </row>
    <row r="839" spans="1:14" ht="15.75" customHeight="1">
      <c r="A839" s="423"/>
      <c r="E839" s="84"/>
      <c r="G839" s="71"/>
      <c r="H839" s="135"/>
      <c r="J839" s="135"/>
      <c r="K839" s="135"/>
      <c r="L839" s="71"/>
      <c r="M839" s="71"/>
      <c r="N839" s="135"/>
    </row>
    <row r="840" spans="1:14" ht="15.75" customHeight="1">
      <c r="A840" s="423"/>
      <c r="E840" s="84"/>
      <c r="G840" s="71"/>
      <c r="H840" s="135"/>
      <c r="J840" s="135"/>
      <c r="K840" s="135"/>
      <c r="L840" s="71"/>
      <c r="M840" s="71"/>
      <c r="N840" s="135"/>
    </row>
    <row r="841" spans="1:14" ht="15.75" customHeight="1">
      <c r="A841" s="423"/>
      <c r="E841" s="84"/>
      <c r="G841" s="71"/>
      <c r="H841" s="135"/>
      <c r="J841" s="135"/>
      <c r="K841" s="135"/>
      <c r="L841" s="71"/>
      <c r="M841" s="71"/>
      <c r="N841" s="135"/>
    </row>
    <row r="842" spans="1:14" ht="15.75" customHeight="1">
      <c r="A842" s="423"/>
      <c r="E842" s="84"/>
      <c r="G842" s="71"/>
      <c r="H842" s="135"/>
      <c r="J842" s="135"/>
      <c r="K842" s="135"/>
      <c r="L842" s="71"/>
      <c r="M842" s="71"/>
      <c r="N842" s="135"/>
    </row>
    <row r="843" spans="1:14" ht="15.75" customHeight="1">
      <c r="A843" s="423"/>
      <c r="E843" s="84"/>
      <c r="G843" s="71"/>
      <c r="H843" s="135"/>
      <c r="J843" s="135"/>
      <c r="K843" s="135"/>
      <c r="L843" s="71"/>
      <c r="M843" s="71"/>
      <c r="N843" s="135"/>
    </row>
    <row r="844" spans="1:14" ht="15.75" customHeight="1">
      <c r="A844" s="423"/>
      <c r="E844" s="84"/>
      <c r="G844" s="71"/>
      <c r="H844" s="135"/>
      <c r="J844" s="135"/>
      <c r="K844" s="135"/>
      <c r="L844" s="71"/>
      <c r="M844" s="71"/>
      <c r="N844" s="135"/>
    </row>
    <row r="845" spans="1:14" ht="15.75" customHeight="1">
      <c r="A845" s="423"/>
      <c r="E845" s="84"/>
      <c r="G845" s="71"/>
      <c r="H845" s="135"/>
      <c r="J845" s="135"/>
      <c r="K845" s="135"/>
      <c r="L845" s="71"/>
      <c r="M845" s="71"/>
      <c r="N845" s="135"/>
    </row>
    <row r="846" spans="1:14" ht="15.75" customHeight="1">
      <c r="A846" s="423"/>
      <c r="E846" s="84"/>
      <c r="G846" s="71"/>
      <c r="H846" s="135"/>
      <c r="J846" s="135"/>
      <c r="K846" s="135"/>
      <c r="L846" s="71"/>
      <c r="M846" s="71"/>
      <c r="N846" s="135"/>
    </row>
    <row r="847" spans="1:14" ht="15.75" customHeight="1">
      <c r="A847" s="423"/>
      <c r="E847" s="84"/>
      <c r="G847" s="71"/>
      <c r="H847" s="135"/>
      <c r="J847" s="135"/>
      <c r="K847" s="135"/>
      <c r="L847" s="71"/>
      <c r="M847" s="71"/>
      <c r="N847" s="135"/>
    </row>
    <row r="848" spans="1:14" ht="15.75" customHeight="1">
      <c r="A848" s="423"/>
      <c r="E848" s="84"/>
      <c r="G848" s="71"/>
      <c r="H848" s="135"/>
      <c r="J848" s="135"/>
      <c r="K848" s="135"/>
      <c r="L848" s="71"/>
      <c r="M848" s="71"/>
      <c r="N848" s="135"/>
    </row>
    <row r="849" spans="1:14" ht="15.75" customHeight="1">
      <c r="A849" s="423"/>
      <c r="E849" s="84"/>
      <c r="G849" s="71"/>
      <c r="H849" s="135"/>
      <c r="J849" s="135"/>
      <c r="K849" s="135"/>
      <c r="L849" s="71"/>
      <c r="M849" s="71"/>
      <c r="N849" s="135"/>
    </row>
    <row r="850" spans="1:14" ht="15.75" customHeight="1">
      <c r="A850" s="423"/>
      <c r="E850" s="84"/>
      <c r="G850" s="71"/>
      <c r="H850" s="135"/>
      <c r="J850" s="135"/>
      <c r="K850" s="135"/>
      <c r="L850" s="71"/>
      <c r="M850" s="71"/>
      <c r="N850" s="135"/>
    </row>
    <row r="851" spans="1:14" ht="15.75" customHeight="1">
      <c r="A851" s="423"/>
      <c r="E851" s="84"/>
      <c r="G851" s="71"/>
      <c r="H851" s="135"/>
      <c r="J851" s="135"/>
      <c r="K851" s="135"/>
      <c r="L851" s="71"/>
      <c r="M851" s="71"/>
      <c r="N851" s="135"/>
    </row>
    <row r="852" spans="1:14" ht="15.75" customHeight="1">
      <c r="A852" s="423"/>
      <c r="E852" s="84"/>
      <c r="G852" s="71"/>
      <c r="H852" s="135"/>
      <c r="J852" s="135"/>
      <c r="K852" s="135"/>
      <c r="L852" s="71"/>
      <c r="M852" s="71"/>
      <c r="N852" s="135"/>
    </row>
    <row r="853" spans="1:14" ht="15.75" customHeight="1">
      <c r="A853" s="423"/>
      <c r="E853" s="84"/>
      <c r="G853" s="71"/>
      <c r="H853" s="135"/>
      <c r="J853" s="135"/>
      <c r="K853" s="135"/>
      <c r="L853" s="71"/>
      <c r="M853" s="71"/>
      <c r="N853" s="135"/>
    </row>
    <row r="854" spans="1:14" ht="15.75" customHeight="1">
      <c r="A854" s="423"/>
      <c r="E854" s="84"/>
      <c r="G854" s="71"/>
      <c r="H854" s="135"/>
      <c r="J854" s="135"/>
      <c r="K854" s="135"/>
      <c r="L854" s="71"/>
      <c r="M854" s="71"/>
      <c r="N854" s="135"/>
    </row>
    <row r="855" spans="1:14" ht="15.75" customHeight="1">
      <c r="A855" s="423"/>
      <c r="E855" s="84"/>
      <c r="G855" s="71"/>
      <c r="H855" s="135"/>
      <c r="J855" s="135"/>
      <c r="K855" s="135"/>
      <c r="L855" s="71"/>
      <c r="M855" s="71"/>
      <c r="N855" s="135"/>
    </row>
    <row r="856" spans="1:14" ht="15.75" customHeight="1">
      <c r="A856" s="423"/>
      <c r="E856" s="84"/>
      <c r="G856" s="71"/>
      <c r="H856" s="135"/>
      <c r="J856" s="135"/>
      <c r="K856" s="135"/>
      <c r="L856" s="71"/>
      <c r="M856" s="71"/>
      <c r="N856" s="135"/>
    </row>
    <row r="857" spans="1:14" ht="15.75" customHeight="1">
      <c r="A857" s="423"/>
      <c r="E857" s="84"/>
      <c r="G857" s="71"/>
      <c r="H857" s="135"/>
      <c r="J857" s="135"/>
      <c r="K857" s="135"/>
      <c r="L857" s="71"/>
      <c r="M857" s="71"/>
      <c r="N857" s="135"/>
    </row>
    <row r="858" spans="1:14" ht="15.75" customHeight="1">
      <c r="A858" s="423"/>
      <c r="E858" s="84"/>
      <c r="G858" s="71"/>
      <c r="H858" s="135"/>
      <c r="J858" s="135"/>
      <c r="K858" s="135"/>
      <c r="L858" s="71"/>
      <c r="M858" s="71"/>
      <c r="N858" s="135"/>
    </row>
    <row r="859" spans="1:14" ht="15.75" customHeight="1">
      <c r="A859" s="423"/>
      <c r="E859" s="84"/>
      <c r="G859" s="71"/>
      <c r="H859" s="135"/>
      <c r="J859" s="135"/>
      <c r="K859" s="135"/>
      <c r="L859" s="71"/>
      <c r="M859" s="71"/>
      <c r="N859" s="135"/>
    </row>
    <row r="860" spans="1:14" ht="15.75" customHeight="1">
      <c r="A860" s="423"/>
      <c r="E860" s="84"/>
      <c r="G860" s="71"/>
      <c r="H860" s="135"/>
      <c r="J860" s="135"/>
      <c r="K860" s="135"/>
      <c r="L860" s="71"/>
      <c r="M860" s="71"/>
      <c r="N860" s="135"/>
    </row>
    <row r="861" spans="1:14" ht="15.75" customHeight="1">
      <c r="A861" s="423"/>
      <c r="E861" s="84"/>
      <c r="G861" s="71"/>
      <c r="H861" s="135"/>
      <c r="J861" s="135"/>
      <c r="K861" s="135"/>
      <c r="L861" s="71"/>
      <c r="M861" s="71"/>
      <c r="N861" s="135"/>
    </row>
    <row r="862" spans="1:14" ht="15.75" customHeight="1">
      <c r="A862" s="423"/>
      <c r="E862" s="84"/>
      <c r="G862" s="71"/>
      <c r="H862" s="135"/>
      <c r="J862" s="135"/>
      <c r="K862" s="135"/>
      <c r="L862" s="71"/>
      <c r="M862" s="71"/>
      <c r="N862" s="135"/>
    </row>
    <row r="863" spans="1:14" ht="15.75" customHeight="1">
      <c r="A863" s="423"/>
      <c r="E863" s="84"/>
      <c r="G863" s="71"/>
      <c r="H863" s="135"/>
      <c r="J863" s="135"/>
      <c r="K863" s="135"/>
      <c r="L863" s="71"/>
      <c r="M863" s="71"/>
      <c r="N863" s="135"/>
    </row>
    <row r="864" spans="1:14" ht="15.75" customHeight="1">
      <c r="A864" s="423"/>
      <c r="E864" s="84"/>
      <c r="G864" s="71"/>
      <c r="H864" s="135"/>
      <c r="J864" s="135"/>
      <c r="K864" s="135"/>
      <c r="L864" s="71"/>
      <c r="M864" s="71"/>
      <c r="N864" s="135"/>
    </row>
    <row r="865" spans="1:14" ht="15.75" customHeight="1">
      <c r="A865" s="423"/>
      <c r="E865" s="84"/>
      <c r="G865" s="71"/>
      <c r="H865" s="135"/>
      <c r="J865" s="135"/>
      <c r="K865" s="135"/>
      <c r="L865" s="71"/>
      <c r="M865" s="71"/>
      <c r="N865" s="135"/>
    </row>
    <row r="866" spans="1:14" ht="15.75" customHeight="1">
      <c r="A866" s="423"/>
      <c r="E866" s="84"/>
      <c r="G866" s="71"/>
      <c r="H866" s="135"/>
      <c r="J866" s="135"/>
      <c r="K866" s="135"/>
      <c r="L866" s="71"/>
      <c r="M866" s="71"/>
      <c r="N866" s="135"/>
    </row>
    <row r="867" spans="1:14" ht="15.75" customHeight="1">
      <c r="A867" s="423"/>
      <c r="E867" s="84"/>
      <c r="G867" s="71"/>
      <c r="H867" s="135"/>
      <c r="J867" s="135"/>
      <c r="K867" s="135"/>
      <c r="L867" s="71"/>
      <c r="M867" s="71"/>
      <c r="N867" s="135"/>
    </row>
    <row r="868" spans="1:14" ht="15.75" customHeight="1">
      <c r="A868" s="423"/>
      <c r="E868" s="84"/>
      <c r="G868" s="71"/>
      <c r="H868" s="135"/>
      <c r="J868" s="135"/>
      <c r="K868" s="135"/>
      <c r="L868" s="71"/>
      <c r="M868" s="71"/>
      <c r="N868" s="135"/>
    </row>
    <row r="869" spans="1:14" ht="15.75" customHeight="1">
      <c r="A869" s="423"/>
      <c r="E869" s="84"/>
      <c r="G869" s="71"/>
      <c r="H869" s="135"/>
      <c r="J869" s="135"/>
      <c r="K869" s="135"/>
      <c r="L869" s="71"/>
      <c r="M869" s="71"/>
      <c r="N869" s="135"/>
    </row>
    <row r="870" spans="1:14" ht="15.75" customHeight="1">
      <c r="A870" s="423"/>
      <c r="E870" s="84"/>
      <c r="G870" s="71"/>
      <c r="H870" s="135"/>
      <c r="J870" s="135"/>
      <c r="K870" s="135"/>
      <c r="L870" s="71"/>
      <c r="M870" s="71"/>
      <c r="N870" s="135"/>
    </row>
    <row r="871" spans="1:14" ht="15.75" customHeight="1">
      <c r="A871" s="423"/>
      <c r="E871" s="84"/>
      <c r="G871" s="71"/>
      <c r="H871" s="135"/>
      <c r="J871" s="135"/>
      <c r="K871" s="135"/>
      <c r="L871" s="71"/>
      <c r="M871" s="71"/>
      <c r="N871" s="135"/>
    </row>
    <row r="872" spans="1:14" ht="15.75" customHeight="1">
      <c r="A872" s="423"/>
      <c r="E872" s="84"/>
      <c r="G872" s="71"/>
      <c r="H872" s="135"/>
      <c r="J872" s="135"/>
      <c r="K872" s="135"/>
      <c r="L872" s="71"/>
      <c r="M872" s="71"/>
      <c r="N872" s="135"/>
    </row>
    <row r="873" spans="1:14" ht="15.75" customHeight="1">
      <c r="A873" s="423"/>
      <c r="E873" s="84"/>
      <c r="G873" s="71"/>
      <c r="H873" s="135"/>
      <c r="J873" s="135"/>
      <c r="K873" s="135"/>
      <c r="L873" s="71"/>
      <c r="M873" s="71"/>
      <c r="N873" s="135"/>
    </row>
    <row r="874" spans="1:14" ht="15.75" customHeight="1">
      <c r="A874" s="423"/>
      <c r="E874" s="84"/>
      <c r="G874" s="71"/>
      <c r="H874" s="135"/>
      <c r="J874" s="135"/>
      <c r="K874" s="135"/>
      <c r="L874" s="71"/>
      <c r="M874" s="71"/>
      <c r="N874" s="135"/>
    </row>
    <row r="875" spans="1:14" ht="15.75" customHeight="1">
      <c r="A875" s="423"/>
      <c r="E875" s="84"/>
      <c r="G875" s="71"/>
      <c r="H875" s="135"/>
      <c r="J875" s="135"/>
      <c r="K875" s="135"/>
      <c r="L875" s="71"/>
      <c r="M875" s="71"/>
      <c r="N875" s="135"/>
    </row>
    <row r="876" spans="1:14" ht="15.75" customHeight="1">
      <c r="A876" s="423"/>
      <c r="E876" s="84"/>
      <c r="G876" s="71"/>
      <c r="H876" s="135"/>
      <c r="J876" s="135"/>
      <c r="K876" s="135"/>
      <c r="L876" s="71"/>
      <c r="M876" s="71"/>
      <c r="N876" s="135"/>
    </row>
    <row r="877" spans="1:14" ht="15.75" customHeight="1">
      <c r="A877" s="423"/>
      <c r="E877" s="84"/>
      <c r="G877" s="71"/>
      <c r="H877" s="135"/>
      <c r="J877" s="135"/>
      <c r="K877" s="135"/>
      <c r="L877" s="71"/>
      <c r="M877" s="71"/>
      <c r="N877" s="135"/>
    </row>
    <row r="878" spans="1:14" ht="15.75" customHeight="1">
      <c r="A878" s="423"/>
      <c r="E878" s="84"/>
      <c r="G878" s="71"/>
      <c r="H878" s="135"/>
      <c r="J878" s="135"/>
      <c r="K878" s="135"/>
      <c r="L878" s="71"/>
      <c r="M878" s="71"/>
      <c r="N878" s="135"/>
    </row>
    <row r="879" spans="1:14" ht="15.75" customHeight="1">
      <c r="A879" s="423"/>
      <c r="E879" s="84"/>
      <c r="G879" s="71"/>
      <c r="H879" s="135"/>
      <c r="J879" s="135"/>
      <c r="K879" s="135"/>
      <c r="L879" s="71"/>
      <c r="M879" s="71"/>
      <c r="N879" s="135"/>
    </row>
    <row r="880" spans="1:14" ht="15.75" customHeight="1">
      <c r="A880" s="423"/>
      <c r="E880" s="84"/>
      <c r="G880" s="71"/>
      <c r="H880" s="135"/>
      <c r="J880" s="135"/>
      <c r="K880" s="135"/>
      <c r="L880" s="71"/>
      <c r="M880" s="71"/>
      <c r="N880" s="135"/>
    </row>
    <row r="881" spans="1:14" ht="15.75" customHeight="1">
      <c r="A881" s="423"/>
      <c r="E881" s="84"/>
      <c r="G881" s="71"/>
      <c r="H881" s="135"/>
      <c r="J881" s="135"/>
      <c r="K881" s="135"/>
      <c r="L881" s="71"/>
      <c r="M881" s="71"/>
      <c r="N881" s="135"/>
    </row>
    <row r="882" spans="1:14" ht="15.75" customHeight="1">
      <c r="A882" s="423"/>
      <c r="E882" s="84"/>
      <c r="G882" s="71"/>
      <c r="H882" s="135"/>
      <c r="J882" s="135"/>
      <c r="K882" s="135"/>
      <c r="L882" s="71"/>
      <c r="M882" s="71"/>
      <c r="N882" s="135"/>
    </row>
    <row r="883" spans="1:14" ht="15.75" customHeight="1">
      <c r="A883" s="423"/>
      <c r="E883" s="84"/>
      <c r="G883" s="71"/>
      <c r="H883" s="135"/>
      <c r="J883" s="135"/>
      <c r="K883" s="135"/>
      <c r="L883" s="71"/>
      <c r="M883" s="71"/>
      <c r="N883" s="135"/>
    </row>
    <row r="884" spans="1:14" ht="15.75" customHeight="1">
      <c r="A884" s="423"/>
      <c r="E884" s="84"/>
      <c r="G884" s="71"/>
      <c r="H884" s="135"/>
      <c r="J884" s="135"/>
      <c r="K884" s="135"/>
      <c r="L884" s="71"/>
      <c r="M884" s="71"/>
      <c r="N884" s="135"/>
    </row>
    <row r="885" spans="1:14" ht="15.75" customHeight="1">
      <c r="A885" s="423"/>
      <c r="E885" s="84"/>
      <c r="G885" s="71"/>
      <c r="H885" s="135"/>
      <c r="J885" s="135"/>
      <c r="K885" s="135"/>
      <c r="L885" s="71"/>
      <c r="M885" s="71"/>
      <c r="N885" s="135"/>
    </row>
    <row r="886" spans="1:14" ht="15.75" customHeight="1">
      <c r="A886" s="423"/>
      <c r="E886" s="84"/>
      <c r="G886" s="71"/>
      <c r="H886" s="135"/>
      <c r="J886" s="135"/>
      <c r="K886" s="135"/>
      <c r="L886" s="71"/>
      <c r="M886" s="71"/>
      <c r="N886" s="135"/>
    </row>
    <row r="887" spans="1:14" ht="15.75" customHeight="1">
      <c r="A887" s="423"/>
      <c r="E887" s="84"/>
      <c r="G887" s="71"/>
      <c r="H887" s="135"/>
      <c r="J887" s="135"/>
      <c r="K887" s="135"/>
      <c r="L887" s="71"/>
      <c r="M887" s="71"/>
      <c r="N887" s="135"/>
    </row>
    <row r="888" spans="1:14" ht="15.75" customHeight="1">
      <c r="A888" s="423"/>
      <c r="E888" s="84"/>
      <c r="G888" s="71"/>
      <c r="H888" s="135"/>
      <c r="J888" s="135"/>
      <c r="K888" s="135"/>
      <c r="L888" s="71"/>
      <c r="M888" s="71"/>
      <c r="N888" s="135"/>
    </row>
    <row r="889" spans="1:14" ht="15.75" customHeight="1">
      <c r="A889" s="423"/>
      <c r="E889" s="84"/>
      <c r="G889" s="71"/>
      <c r="H889" s="135"/>
      <c r="J889" s="135"/>
      <c r="K889" s="135"/>
      <c r="L889" s="71"/>
      <c r="M889" s="71"/>
      <c r="N889" s="135"/>
    </row>
    <row r="890" spans="1:14" ht="15.75" customHeight="1">
      <c r="A890" s="423"/>
      <c r="E890" s="84"/>
      <c r="G890" s="71"/>
      <c r="H890" s="135"/>
      <c r="J890" s="135"/>
      <c r="K890" s="135"/>
      <c r="L890" s="71"/>
      <c r="M890" s="71"/>
      <c r="N890" s="135"/>
    </row>
    <row r="891" spans="1:14" ht="15.75" customHeight="1">
      <c r="A891" s="423"/>
      <c r="E891" s="84"/>
      <c r="G891" s="71"/>
      <c r="H891" s="135"/>
      <c r="J891" s="135"/>
      <c r="K891" s="135"/>
      <c r="L891" s="71"/>
      <c r="M891" s="71"/>
      <c r="N891" s="135"/>
    </row>
    <row r="892" spans="1:14" ht="15.75" customHeight="1">
      <c r="A892" s="423"/>
      <c r="E892" s="84"/>
      <c r="G892" s="71"/>
      <c r="H892" s="135"/>
      <c r="J892" s="135"/>
      <c r="K892" s="135"/>
      <c r="L892" s="71"/>
      <c r="M892" s="71"/>
      <c r="N892" s="135"/>
    </row>
    <row r="893" spans="1:14" ht="15.75" customHeight="1">
      <c r="A893" s="423"/>
      <c r="E893" s="84"/>
      <c r="G893" s="71"/>
      <c r="H893" s="135"/>
      <c r="J893" s="135"/>
      <c r="K893" s="135"/>
      <c r="L893" s="71"/>
      <c r="M893" s="71"/>
      <c r="N893" s="135"/>
    </row>
    <row r="894" spans="1:14" ht="15.75" customHeight="1">
      <c r="A894" s="423"/>
      <c r="E894" s="84"/>
      <c r="G894" s="71"/>
      <c r="H894" s="135"/>
      <c r="J894" s="135"/>
      <c r="K894" s="135"/>
      <c r="L894" s="71"/>
      <c r="M894" s="71"/>
      <c r="N894" s="135"/>
    </row>
    <row r="895" spans="1:14" ht="15.75" customHeight="1">
      <c r="A895" s="423"/>
      <c r="E895" s="84"/>
      <c r="G895" s="71"/>
      <c r="H895" s="135"/>
      <c r="J895" s="135"/>
      <c r="K895" s="135"/>
      <c r="L895" s="71"/>
      <c r="M895" s="71"/>
      <c r="N895" s="135"/>
    </row>
    <row r="896" spans="1:14" ht="15.75" customHeight="1">
      <c r="A896" s="423"/>
      <c r="E896" s="84"/>
      <c r="G896" s="71"/>
      <c r="H896" s="135"/>
      <c r="J896" s="135"/>
      <c r="K896" s="135"/>
      <c r="L896" s="71"/>
      <c r="M896" s="71"/>
      <c r="N896" s="135"/>
    </row>
    <row r="897" spans="1:14" ht="15.75" customHeight="1">
      <c r="A897" s="423"/>
      <c r="E897" s="84"/>
      <c r="G897" s="71"/>
      <c r="H897" s="135"/>
      <c r="J897" s="135"/>
      <c r="K897" s="135"/>
      <c r="L897" s="71"/>
      <c r="M897" s="71"/>
      <c r="N897" s="135"/>
    </row>
    <row r="898" spans="1:14" ht="15.75" customHeight="1">
      <c r="A898" s="423"/>
      <c r="E898" s="84"/>
      <c r="G898" s="71"/>
      <c r="H898" s="135"/>
      <c r="J898" s="135"/>
      <c r="K898" s="135"/>
      <c r="L898" s="71"/>
      <c r="M898" s="71"/>
      <c r="N898" s="135"/>
    </row>
    <row r="899" spans="1:14" ht="15.75" customHeight="1">
      <c r="A899" s="423"/>
      <c r="E899" s="84"/>
      <c r="G899" s="71"/>
      <c r="H899" s="135"/>
      <c r="J899" s="135"/>
      <c r="K899" s="135"/>
      <c r="L899" s="71"/>
      <c r="M899" s="71"/>
      <c r="N899" s="135"/>
    </row>
    <row r="900" spans="1:14" ht="15.75" customHeight="1">
      <c r="A900" s="423"/>
      <c r="E900" s="84"/>
      <c r="G900" s="71"/>
      <c r="H900" s="135"/>
      <c r="J900" s="135"/>
      <c r="K900" s="135"/>
      <c r="L900" s="71"/>
      <c r="M900" s="71"/>
      <c r="N900" s="135"/>
    </row>
    <row r="901" spans="1:14" ht="15.75" customHeight="1">
      <c r="A901" s="423"/>
      <c r="E901" s="84"/>
      <c r="G901" s="71"/>
      <c r="H901" s="135"/>
      <c r="J901" s="135"/>
      <c r="K901" s="135"/>
      <c r="L901" s="71"/>
      <c r="M901" s="71"/>
      <c r="N901" s="135"/>
    </row>
    <row r="902" spans="1:14" ht="15.75" customHeight="1">
      <c r="A902" s="423"/>
      <c r="E902" s="84"/>
      <c r="G902" s="71"/>
      <c r="H902" s="135"/>
      <c r="J902" s="135"/>
      <c r="K902" s="135"/>
      <c r="L902" s="71"/>
      <c r="M902" s="71"/>
      <c r="N902" s="135"/>
    </row>
    <row r="903" spans="1:14" ht="15.75" customHeight="1">
      <c r="A903" s="423"/>
      <c r="E903" s="84"/>
      <c r="G903" s="71"/>
      <c r="H903" s="135"/>
      <c r="J903" s="135"/>
      <c r="K903" s="135"/>
      <c r="L903" s="71"/>
      <c r="M903" s="71"/>
      <c r="N903" s="135"/>
    </row>
    <row r="904" spans="1:14" ht="15.75" customHeight="1">
      <c r="A904" s="423"/>
      <c r="E904" s="84"/>
      <c r="G904" s="71"/>
      <c r="H904" s="135"/>
      <c r="J904" s="135"/>
      <c r="K904" s="135"/>
      <c r="L904" s="71"/>
      <c r="M904" s="71"/>
      <c r="N904" s="135"/>
    </row>
    <row r="905" spans="1:14" ht="15.75" customHeight="1">
      <c r="A905" s="423"/>
      <c r="E905" s="84"/>
      <c r="G905" s="71"/>
      <c r="H905" s="135"/>
      <c r="J905" s="135"/>
      <c r="K905" s="135"/>
      <c r="L905" s="71"/>
      <c r="M905" s="71"/>
      <c r="N905" s="135"/>
    </row>
    <row r="906" spans="1:14" ht="15.75" customHeight="1">
      <c r="A906" s="423"/>
      <c r="E906" s="84"/>
      <c r="G906" s="71"/>
      <c r="H906" s="135"/>
      <c r="J906" s="135"/>
      <c r="K906" s="135"/>
      <c r="L906" s="71"/>
      <c r="M906" s="71"/>
      <c r="N906" s="135"/>
    </row>
    <row r="907" spans="1:14" ht="15.75" customHeight="1">
      <c r="A907" s="423"/>
      <c r="E907" s="84"/>
      <c r="G907" s="71"/>
      <c r="H907" s="135"/>
      <c r="J907" s="135"/>
      <c r="K907" s="135"/>
      <c r="L907" s="71"/>
      <c r="M907" s="71"/>
      <c r="N907" s="135"/>
    </row>
    <row r="908" spans="1:14" ht="15.75" customHeight="1">
      <c r="A908" s="423"/>
      <c r="E908" s="84"/>
      <c r="G908" s="71"/>
      <c r="H908" s="135"/>
      <c r="J908" s="135"/>
      <c r="K908" s="135"/>
      <c r="L908" s="71"/>
      <c r="M908" s="71"/>
      <c r="N908" s="135"/>
    </row>
    <row r="909" spans="1:14" ht="15.75" customHeight="1">
      <c r="A909" s="423"/>
      <c r="E909" s="84"/>
      <c r="G909" s="71"/>
      <c r="H909" s="135"/>
      <c r="J909" s="135"/>
      <c r="K909" s="135"/>
      <c r="L909" s="71"/>
      <c r="M909" s="71"/>
      <c r="N909" s="135"/>
    </row>
    <row r="910" spans="1:14" ht="15.75" customHeight="1">
      <c r="A910" s="423"/>
      <c r="E910" s="84"/>
      <c r="G910" s="71"/>
      <c r="H910" s="135"/>
      <c r="J910" s="135"/>
      <c r="K910" s="135"/>
      <c r="L910" s="71"/>
      <c r="M910" s="71"/>
      <c r="N910" s="135"/>
    </row>
    <row r="911" spans="1:14" ht="15.75" customHeight="1">
      <c r="A911" s="423"/>
      <c r="E911" s="84"/>
      <c r="G911" s="71"/>
      <c r="H911" s="135"/>
      <c r="J911" s="135"/>
      <c r="K911" s="135"/>
      <c r="L911" s="71"/>
      <c r="M911" s="71"/>
      <c r="N911" s="135"/>
    </row>
    <row r="912" spans="1:14" ht="15.75" customHeight="1">
      <c r="A912" s="423"/>
      <c r="E912" s="84"/>
      <c r="G912" s="71"/>
      <c r="H912" s="135"/>
      <c r="J912" s="135"/>
      <c r="K912" s="135"/>
      <c r="L912" s="71"/>
      <c r="M912" s="71"/>
      <c r="N912" s="135"/>
    </row>
    <row r="913" spans="1:14" ht="15.75" customHeight="1">
      <c r="A913" s="423"/>
      <c r="E913" s="84"/>
      <c r="G913" s="71"/>
      <c r="H913" s="135"/>
      <c r="J913" s="135"/>
      <c r="K913" s="135"/>
      <c r="L913" s="71"/>
      <c r="M913" s="71"/>
      <c r="N913" s="135"/>
    </row>
    <row r="914" spans="1:14" ht="15.75" customHeight="1">
      <c r="A914" s="423"/>
      <c r="E914" s="84"/>
      <c r="G914" s="71"/>
      <c r="H914" s="135"/>
      <c r="J914" s="135"/>
      <c r="K914" s="135"/>
      <c r="L914" s="71"/>
      <c r="M914" s="71"/>
      <c r="N914" s="135"/>
    </row>
    <row r="915" spans="1:14" ht="15.75" customHeight="1">
      <c r="A915" s="423"/>
      <c r="E915" s="84"/>
      <c r="G915" s="71"/>
      <c r="H915" s="135"/>
      <c r="J915" s="135"/>
      <c r="K915" s="135"/>
      <c r="L915" s="71"/>
      <c r="M915" s="71"/>
      <c r="N915" s="135"/>
    </row>
    <row r="916" spans="1:14" ht="15.75" customHeight="1">
      <c r="A916" s="423"/>
      <c r="E916" s="84"/>
      <c r="G916" s="71"/>
      <c r="H916" s="135"/>
      <c r="J916" s="135"/>
      <c r="K916" s="135"/>
      <c r="L916" s="71"/>
      <c r="M916" s="71"/>
      <c r="N916" s="135"/>
    </row>
    <row r="917" spans="1:14" ht="15.75" customHeight="1">
      <c r="A917" s="423"/>
      <c r="E917" s="84"/>
      <c r="G917" s="71"/>
      <c r="H917" s="135"/>
      <c r="J917" s="135"/>
      <c r="K917" s="135"/>
      <c r="L917" s="71"/>
      <c r="M917" s="71"/>
      <c r="N917" s="135"/>
    </row>
    <row r="918" spans="1:14" ht="15.75" customHeight="1">
      <c r="A918" s="423"/>
      <c r="E918" s="84"/>
      <c r="G918" s="71"/>
      <c r="H918" s="135"/>
      <c r="J918" s="135"/>
      <c r="K918" s="135"/>
      <c r="L918" s="71"/>
      <c r="M918" s="71"/>
      <c r="N918" s="135"/>
    </row>
    <row r="919" spans="1:14" ht="15.75" customHeight="1">
      <c r="A919" s="423"/>
      <c r="E919" s="84"/>
      <c r="G919" s="71"/>
      <c r="H919" s="135"/>
      <c r="J919" s="135"/>
      <c r="K919" s="135"/>
      <c r="L919" s="71"/>
      <c r="M919" s="71"/>
      <c r="N919" s="135"/>
    </row>
    <row r="920" spans="1:14" ht="15.75" customHeight="1">
      <c r="A920" s="423"/>
      <c r="E920" s="84"/>
      <c r="G920" s="71"/>
      <c r="H920" s="135"/>
      <c r="J920" s="135"/>
      <c r="K920" s="135"/>
      <c r="L920" s="71"/>
      <c r="M920" s="71"/>
      <c r="N920" s="135"/>
    </row>
    <row r="921" spans="1:14" ht="15.75" customHeight="1">
      <c r="A921" s="423"/>
      <c r="E921" s="84"/>
      <c r="G921" s="71"/>
      <c r="H921" s="135"/>
      <c r="J921" s="135"/>
      <c r="K921" s="135"/>
      <c r="L921" s="71"/>
      <c r="M921" s="71"/>
      <c r="N921" s="135"/>
    </row>
    <row r="922" spans="1:14" ht="15.75" customHeight="1">
      <c r="A922" s="423"/>
      <c r="E922" s="84"/>
      <c r="G922" s="71"/>
      <c r="H922" s="135"/>
      <c r="J922" s="135"/>
      <c r="K922" s="135"/>
      <c r="L922" s="71"/>
      <c r="M922" s="71"/>
      <c r="N922" s="135"/>
    </row>
    <row r="923" spans="1:14" ht="15.75" customHeight="1">
      <c r="A923" s="423"/>
      <c r="E923" s="84"/>
      <c r="G923" s="71"/>
      <c r="H923" s="135"/>
      <c r="J923" s="135"/>
      <c r="K923" s="135"/>
      <c r="L923" s="71"/>
      <c r="M923" s="71"/>
      <c r="N923" s="135"/>
    </row>
    <row r="924" spans="1:14" ht="15.75" customHeight="1">
      <c r="A924" s="423"/>
      <c r="E924" s="84"/>
      <c r="G924" s="71"/>
      <c r="H924" s="135"/>
      <c r="J924" s="135"/>
      <c r="K924" s="135"/>
      <c r="L924" s="71"/>
      <c r="M924" s="71"/>
      <c r="N924" s="135"/>
    </row>
    <row r="925" spans="1:14" ht="15.75" customHeight="1">
      <c r="A925" s="423"/>
      <c r="E925" s="84"/>
      <c r="G925" s="71"/>
      <c r="H925" s="135"/>
      <c r="J925" s="135"/>
      <c r="K925" s="135"/>
      <c r="L925" s="71"/>
      <c r="M925" s="71"/>
      <c r="N925" s="135"/>
    </row>
    <row r="926" spans="1:14" ht="15.75" customHeight="1">
      <c r="A926" s="423"/>
      <c r="E926" s="84"/>
      <c r="G926" s="71"/>
      <c r="H926" s="135"/>
      <c r="J926" s="135"/>
      <c r="K926" s="135"/>
      <c r="L926" s="71"/>
      <c r="M926" s="71"/>
      <c r="N926" s="135"/>
    </row>
    <row r="927" spans="1:14" ht="15.75" customHeight="1">
      <c r="A927" s="423"/>
      <c r="E927" s="84"/>
      <c r="G927" s="71"/>
      <c r="H927" s="135"/>
      <c r="J927" s="135"/>
      <c r="K927" s="135"/>
      <c r="L927" s="71"/>
      <c r="M927" s="71"/>
      <c r="N927" s="135"/>
    </row>
    <row r="928" spans="1:14" ht="15.75" customHeight="1">
      <c r="A928" s="423"/>
      <c r="E928" s="84"/>
      <c r="G928" s="71"/>
      <c r="H928" s="135"/>
      <c r="J928" s="135"/>
      <c r="K928" s="135"/>
      <c r="L928" s="71"/>
      <c r="M928" s="71"/>
      <c r="N928" s="135"/>
    </row>
    <row r="929" spans="1:14" ht="15.75" customHeight="1">
      <c r="A929" s="423"/>
      <c r="E929" s="84"/>
      <c r="G929" s="71"/>
      <c r="H929" s="135"/>
      <c r="J929" s="135"/>
      <c r="K929" s="135"/>
      <c r="L929" s="71"/>
      <c r="M929" s="71"/>
      <c r="N929" s="135"/>
    </row>
    <row r="930" spans="1:14" ht="15.75" customHeight="1">
      <c r="A930" s="423"/>
      <c r="E930" s="84"/>
      <c r="G930" s="71"/>
      <c r="H930" s="135"/>
      <c r="J930" s="135"/>
      <c r="K930" s="135"/>
      <c r="L930" s="71"/>
      <c r="M930" s="71"/>
      <c r="N930" s="135"/>
    </row>
    <row r="931" spans="1:14" ht="15.75" customHeight="1">
      <c r="A931" s="423"/>
      <c r="E931" s="84"/>
      <c r="G931" s="71"/>
      <c r="H931" s="135"/>
      <c r="J931" s="135"/>
      <c r="K931" s="135"/>
      <c r="L931" s="71"/>
      <c r="M931" s="71"/>
      <c r="N931" s="135"/>
    </row>
    <row r="932" spans="1:14" ht="15.75" customHeight="1">
      <c r="A932" s="423"/>
      <c r="E932" s="84"/>
      <c r="G932" s="71"/>
      <c r="H932" s="135"/>
      <c r="J932" s="135"/>
      <c r="K932" s="135"/>
      <c r="L932" s="71"/>
      <c r="M932" s="71"/>
      <c r="N932" s="135"/>
    </row>
    <row r="933" spans="1:14" ht="15.75" customHeight="1">
      <c r="A933" s="423"/>
      <c r="E933" s="84"/>
      <c r="G933" s="71"/>
      <c r="H933" s="135"/>
      <c r="J933" s="135"/>
      <c r="K933" s="135"/>
      <c r="L933" s="71"/>
      <c r="M933" s="71"/>
      <c r="N933" s="135"/>
    </row>
    <row r="934" spans="1:14" ht="15.75" customHeight="1">
      <c r="A934" s="423"/>
      <c r="E934" s="84"/>
      <c r="G934" s="71"/>
      <c r="H934" s="135"/>
      <c r="J934" s="135"/>
      <c r="K934" s="135"/>
      <c r="L934" s="71"/>
      <c r="M934" s="71"/>
      <c r="N934" s="135"/>
    </row>
    <row r="935" spans="1:14" ht="15.75" customHeight="1">
      <c r="A935" s="423"/>
      <c r="E935" s="84"/>
      <c r="G935" s="71"/>
      <c r="H935" s="135"/>
      <c r="J935" s="135"/>
      <c r="K935" s="135"/>
      <c r="L935" s="71"/>
      <c r="M935" s="71"/>
      <c r="N935" s="135"/>
    </row>
    <row r="936" spans="1:14" ht="15.75" customHeight="1">
      <c r="A936" s="423"/>
      <c r="E936" s="84"/>
      <c r="G936" s="71"/>
      <c r="H936" s="135"/>
      <c r="J936" s="135"/>
      <c r="K936" s="135"/>
      <c r="L936" s="71"/>
      <c r="M936" s="71"/>
      <c r="N936" s="135"/>
    </row>
    <row r="937" spans="1:14" ht="15.75" customHeight="1">
      <c r="A937" s="423"/>
      <c r="E937" s="84"/>
      <c r="G937" s="71"/>
      <c r="H937" s="135"/>
      <c r="J937" s="135"/>
      <c r="K937" s="135"/>
      <c r="L937" s="71"/>
      <c r="M937" s="71"/>
      <c r="N937" s="135"/>
    </row>
    <row r="938" spans="1:14" ht="15.75" customHeight="1">
      <c r="A938" s="423"/>
      <c r="E938" s="84"/>
      <c r="G938" s="71"/>
      <c r="H938" s="135"/>
      <c r="J938" s="135"/>
      <c r="K938" s="135"/>
      <c r="L938" s="71"/>
      <c r="M938" s="71"/>
      <c r="N938" s="135"/>
    </row>
    <row r="939" spans="1:14" ht="15.75" customHeight="1">
      <c r="A939" s="423"/>
      <c r="E939" s="84"/>
      <c r="G939" s="71"/>
      <c r="H939" s="135"/>
      <c r="J939" s="135"/>
      <c r="K939" s="135"/>
      <c r="L939" s="71"/>
      <c r="M939" s="71"/>
      <c r="N939" s="135"/>
    </row>
    <row r="940" spans="1:14" ht="15.75" customHeight="1">
      <c r="A940" s="423"/>
      <c r="E940" s="84"/>
      <c r="G940" s="71"/>
      <c r="H940" s="135"/>
      <c r="J940" s="135"/>
      <c r="K940" s="135"/>
      <c r="L940" s="71"/>
      <c r="M940" s="71"/>
      <c r="N940" s="135"/>
    </row>
    <row r="941" spans="1:14" ht="15.75" customHeight="1">
      <c r="A941" s="423"/>
      <c r="E941" s="84"/>
      <c r="G941" s="71"/>
      <c r="H941" s="135"/>
      <c r="J941" s="135"/>
      <c r="K941" s="135"/>
      <c r="L941" s="71"/>
      <c r="M941" s="71"/>
      <c r="N941" s="135"/>
    </row>
    <row r="942" spans="1:14" ht="15.75" customHeight="1">
      <c r="A942" s="423"/>
      <c r="E942" s="84"/>
      <c r="G942" s="71"/>
      <c r="H942" s="135"/>
      <c r="J942" s="135"/>
      <c r="K942" s="135"/>
      <c r="L942" s="71"/>
      <c r="M942" s="71"/>
      <c r="N942" s="135"/>
    </row>
    <row r="943" spans="1:14" ht="15.75" customHeight="1">
      <c r="A943" s="423"/>
      <c r="E943" s="84"/>
      <c r="G943" s="71"/>
      <c r="H943" s="135"/>
      <c r="J943" s="135"/>
      <c r="K943" s="135"/>
      <c r="L943" s="71"/>
      <c r="M943" s="71"/>
      <c r="N943" s="135"/>
    </row>
    <row r="944" spans="1:14" ht="15.75" customHeight="1">
      <c r="A944" s="423"/>
      <c r="E944" s="84"/>
      <c r="G944" s="71"/>
      <c r="H944" s="135"/>
      <c r="J944" s="135"/>
      <c r="K944" s="135"/>
      <c r="L944" s="71"/>
      <c r="M944" s="71"/>
      <c r="N944" s="135"/>
    </row>
    <row r="945" spans="1:14" ht="15.75" customHeight="1">
      <c r="A945" s="423"/>
      <c r="E945" s="84"/>
      <c r="G945" s="71"/>
      <c r="H945" s="135"/>
      <c r="J945" s="135"/>
      <c r="K945" s="135"/>
      <c r="L945" s="71"/>
      <c r="M945" s="71"/>
      <c r="N945" s="135"/>
    </row>
    <row r="946" spans="1:14" ht="15.75" customHeight="1">
      <c r="A946" s="423"/>
      <c r="E946" s="84"/>
      <c r="G946" s="71"/>
      <c r="H946" s="135"/>
      <c r="J946" s="135"/>
      <c r="K946" s="135"/>
      <c r="L946" s="71"/>
      <c r="M946" s="71"/>
      <c r="N946" s="135"/>
    </row>
    <row r="947" spans="1:14" ht="15.75" customHeight="1">
      <c r="A947" s="423"/>
      <c r="E947" s="84"/>
      <c r="G947" s="71"/>
      <c r="H947" s="135"/>
      <c r="J947" s="135"/>
      <c r="K947" s="135"/>
      <c r="L947" s="71"/>
      <c r="M947" s="71"/>
      <c r="N947" s="135"/>
    </row>
    <row r="948" spans="1:14" ht="15.75" customHeight="1">
      <c r="A948" s="423"/>
      <c r="E948" s="84"/>
      <c r="G948" s="71"/>
      <c r="H948" s="135"/>
      <c r="J948" s="135"/>
      <c r="K948" s="135"/>
      <c r="L948" s="71"/>
      <c r="M948" s="71"/>
      <c r="N948" s="135"/>
    </row>
    <row r="949" spans="1:14" ht="15.75" customHeight="1">
      <c r="A949" s="423"/>
      <c r="E949" s="84"/>
      <c r="G949" s="71"/>
      <c r="H949" s="135"/>
      <c r="J949" s="135"/>
      <c r="K949" s="135"/>
      <c r="L949" s="71"/>
      <c r="M949" s="71"/>
      <c r="N949" s="135"/>
    </row>
    <row r="950" spans="1:14" ht="15.75" customHeight="1">
      <c r="A950" s="423"/>
      <c r="E950" s="84"/>
      <c r="G950" s="71"/>
      <c r="H950" s="135"/>
      <c r="J950" s="135"/>
      <c r="K950" s="135"/>
      <c r="L950" s="71"/>
      <c r="M950" s="71"/>
      <c r="N950" s="135"/>
    </row>
    <row r="951" spans="1:14" ht="15.75" customHeight="1">
      <c r="A951" s="423"/>
      <c r="E951" s="84"/>
      <c r="G951" s="71"/>
      <c r="H951" s="135"/>
      <c r="J951" s="135"/>
      <c r="K951" s="135"/>
      <c r="L951" s="71"/>
      <c r="M951" s="71"/>
      <c r="N951" s="135"/>
    </row>
    <row r="952" spans="1:14" ht="15.75" customHeight="1">
      <c r="A952" s="423"/>
      <c r="E952" s="84"/>
      <c r="G952" s="71"/>
      <c r="H952" s="135"/>
      <c r="J952" s="135"/>
      <c r="K952" s="135"/>
      <c r="L952" s="71"/>
      <c r="M952" s="71"/>
      <c r="N952" s="135"/>
    </row>
    <row r="953" spans="1:14" ht="15.75" customHeight="1">
      <c r="A953" s="423"/>
      <c r="E953" s="84"/>
      <c r="G953" s="71"/>
      <c r="H953" s="135"/>
      <c r="J953" s="135"/>
      <c r="K953" s="135"/>
      <c r="L953" s="71"/>
      <c r="M953" s="71"/>
      <c r="N953" s="135"/>
    </row>
    <row r="954" spans="1:14" ht="15.75" customHeight="1">
      <c r="A954" s="423"/>
      <c r="E954" s="84"/>
      <c r="G954" s="71"/>
      <c r="H954" s="135"/>
      <c r="J954" s="135"/>
      <c r="K954" s="135"/>
      <c r="L954" s="71"/>
      <c r="M954" s="71"/>
      <c r="N954" s="135"/>
    </row>
    <row r="955" spans="1:14" ht="15.75" customHeight="1">
      <c r="A955" s="423"/>
      <c r="E955" s="84"/>
      <c r="G955" s="71"/>
      <c r="H955" s="135"/>
      <c r="J955" s="135"/>
      <c r="K955" s="135"/>
      <c r="L955" s="71"/>
      <c r="M955" s="71"/>
      <c r="N955" s="135"/>
    </row>
    <row r="956" spans="1:14" ht="15.75" customHeight="1">
      <c r="A956" s="423"/>
      <c r="E956" s="84"/>
      <c r="G956" s="71"/>
      <c r="H956" s="135"/>
      <c r="J956" s="135"/>
      <c r="K956" s="135"/>
      <c r="L956" s="71"/>
      <c r="M956" s="71"/>
      <c r="N956" s="135"/>
    </row>
    <row r="957" spans="1:14" ht="15.75" customHeight="1">
      <c r="A957" s="423"/>
      <c r="E957" s="84"/>
      <c r="G957" s="71"/>
      <c r="H957" s="135"/>
      <c r="J957" s="135"/>
      <c r="K957" s="135"/>
      <c r="L957" s="71"/>
      <c r="M957" s="71"/>
      <c r="N957" s="135"/>
    </row>
    <row r="958" spans="1:14" ht="15.75" customHeight="1">
      <c r="A958" s="423"/>
      <c r="E958" s="84"/>
      <c r="G958" s="71"/>
      <c r="H958" s="135"/>
      <c r="J958" s="135"/>
      <c r="K958" s="135"/>
      <c r="L958" s="71"/>
      <c r="M958" s="71"/>
      <c r="N958" s="135"/>
    </row>
    <row r="959" spans="1:14" ht="15.75" customHeight="1">
      <c r="A959" s="423"/>
      <c r="E959" s="84"/>
      <c r="G959" s="71"/>
      <c r="H959" s="135"/>
      <c r="J959" s="135"/>
      <c r="K959" s="135"/>
      <c r="L959" s="71"/>
      <c r="M959" s="71"/>
      <c r="N959" s="135"/>
    </row>
    <row r="960" spans="1:14" ht="15.75" customHeight="1">
      <c r="A960" s="423"/>
      <c r="E960" s="84"/>
      <c r="G960" s="71"/>
      <c r="H960" s="135"/>
      <c r="J960" s="135"/>
      <c r="K960" s="135"/>
      <c r="L960" s="71"/>
      <c r="M960" s="71"/>
      <c r="N960" s="135"/>
    </row>
    <row r="961" spans="1:14" ht="15.75" customHeight="1">
      <c r="A961" s="423"/>
      <c r="E961" s="84"/>
      <c r="G961" s="71"/>
      <c r="H961" s="135"/>
      <c r="J961" s="135"/>
      <c r="K961" s="135"/>
      <c r="L961" s="71"/>
      <c r="M961" s="71"/>
      <c r="N961" s="135"/>
    </row>
    <row r="962" spans="1:14" ht="15.75" customHeight="1">
      <c r="A962" s="423"/>
      <c r="E962" s="84"/>
      <c r="G962" s="71"/>
      <c r="H962" s="135"/>
      <c r="J962" s="135"/>
      <c r="K962" s="135"/>
      <c r="L962" s="71"/>
      <c r="M962" s="71"/>
      <c r="N962" s="135"/>
    </row>
    <row r="963" spans="1:14" ht="15.75" customHeight="1">
      <c r="A963" s="423"/>
      <c r="E963" s="84"/>
      <c r="G963" s="71"/>
      <c r="H963" s="135"/>
      <c r="J963" s="135"/>
      <c r="K963" s="135"/>
      <c r="L963" s="71"/>
      <c r="M963" s="71"/>
      <c r="N963" s="135"/>
    </row>
    <row r="964" spans="1:14" ht="15.75" customHeight="1">
      <c r="A964" s="423"/>
      <c r="E964" s="84"/>
      <c r="G964" s="71"/>
      <c r="H964" s="135"/>
      <c r="J964" s="135"/>
      <c r="K964" s="135"/>
      <c r="L964" s="71"/>
      <c r="M964" s="71"/>
      <c r="N964" s="135"/>
    </row>
    <row r="965" spans="1:14" ht="15.75" customHeight="1">
      <c r="A965" s="423"/>
      <c r="E965" s="84"/>
      <c r="G965" s="71"/>
      <c r="H965" s="135"/>
      <c r="J965" s="135"/>
      <c r="K965" s="135"/>
      <c r="L965" s="71"/>
      <c r="M965" s="71"/>
      <c r="N965" s="135"/>
    </row>
    <row r="966" spans="1:14" ht="15.75" customHeight="1">
      <c r="A966" s="423"/>
      <c r="E966" s="84"/>
      <c r="G966" s="71"/>
      <c r="H966" s="135"/>
      <c r="J966" s="135"/>
      <c r="K966" s="135"/>
      <c r="L966" s="71"/>
      <c r="M966" s="71"/>
      <c r="N966" s="135"/>
    </row>
    <row r="967" spans="1:14" ht="15.75" customHeight="1">
      <c r="A967" s="423"/>
      <c r="E967" s="84"/>
      <c r="G967" s="71"/>
      <c r="H967" s="135"/>
      <c r="J967" s="135"/>
      <c r="K967" s="135"/>
      <c r="L967" s="71"/>
      <c r="M967" s="71"/>
      <c r="N967" s="135"/>
    </row>
    <row r="968" spans="1:14" ht="15.75" customHeight="1">
      <c r="A968" s="423"/>
      <c r="E968" s="84"/>
      <c r="G968" s="71"/>
      <c r="H968" s="135"/>
      <c r="J968" s="135"/>
      <c r="K968" s="135"/>
      <c r="L968" s="71"/>
      <c r="M968" s="71"/>
      <c r="N968" s="135"/>
    </row>
    <row r="969" spans="1:14" ht="15.75" customHeight="1">
      <c r="A969" s="423"/>
      <c r="E969" s="84"/>
      <c r="G969" s="71"/>
      <c r="H969" s="135"/>
      <c r="J969" s="135"/>
      <c r="K969" s="135"/>
      <c r="L969" s="71"/>
      <c r="M969" s="71"/>
      <c r="N969" s="135"/>
    </row>
    <row r="970" spans="1:14" ht="15.75" customHeight="1">
      <c r="A970" s="423"/>
      <c r="E970" s="84"/>
      <c r="G970" s="71"/>
      <c r="H970" s="135"/>
      <c r="J970" s="135"/>
      <c r="K970" s="135"/>
      <c r="L970" s="71"/>
      <c r="M970" s="71"/>
      <c r="N970" s="135"/>
    </row>
    <row r="971" spans="1:14" ht="15.75" customHeight="1">
      <c r="A971" s="423"/>
      <c r="E971" s="84"/>
      <c r="G971" s="71"/>
      <c r="H971" s="135"/>
      <c r="J971" s="135"/>
      <c r="K971" s="135"/>
      <c r="L971" s="71"/>
      <c r="M971" s="71"/>
      <c r="N971" s="135"/>
    </row>
    <row r="972" spans="1:14" ht="15.75" customHeight="1">
      <c r="A972" s="423"/>
      <c r="E972" s="84"/>
      <c r="G972" s="71"/>
      <c r="H972" s="135"/>
      <c r="J972" s="135"/>
      <c r="K972" s="135"/>
      <c r="L972" s="71"/>
      <c r="M972" s="71"/>
      <c r="N972" s="135"/>
    </row>
    <row r="973" spans="1:14" ht="15.75" customHeight="1">
      <c r="A973" s="423"/>
      <c r="E973" s="84"/>
      <c r="G973" s="71"/>
      <c r="H973" s="135"/>
      <c r="J973" s="135"/>
      <c r="K973" s="135"/>
      <c r="L973" s="71"/>
      <c r="M973" s="71"/>
      <c r="N973" s="135"/>
    </row>
    <row r="974" spans="1:14" ht="15.75" customHeight="1">
      <c r="A974" s="423"/>
      <c r="E974" s="84"/>
      <c r="G974" s="71"/>
      <c r="H974" s="135"/>
      <c r="J974" s="135"/>
      <c r="K974" s="135"/>
      <c r="L974" s="71"/>
      <c r="M974" s="71"/>
      <c r="N974" s="135"/>
    </row>
    <row r="975" spans="1:14" ht="15.75" customHeight="1">
      <c r="A975" s="423"/>
      <c r="E975" s="84"/>
      <c r="G975" s="71"/>
      <c r="H975" s="135"/>
      <c r="J975" s="135"/>
      <c r="K975" s="135"/>
      <c r="L975" s="71"/>
      <c r="M975" s="71"/>
      <c r="N975" s="135"/>
    </row>
    <row r="976" spans="1:14" ht="15.75" customHeight="1">
      <c r="A976" s="423"/>
      <c r="E976" s="84"/>
      <c r="G976" s="71"/>
      <c r="H976" s="135"/>
      <c r="J976" s="135"/>
      <c r="K976" s="135"/>
      <c r="L976" s="71"/>
      <c r="M976" s="71"/>
      <c r="N976" s="135"/>
    </row>
    <row r="977" spans="1:14" ht="15.75" customHeight="1">
      <c r="A977" s="423"/>
      <c r="E977" s="84"/>
      <c r="G977" s="71"/>
      <c r="H977" s="135"/>
      <c r="J977" s="135"/>
      <c r="K977" s="135"/>
      <c r="L977" s="71"/>
      <c r="M977" s="71"/>
      <c r="N977" s="135"/>
    </row>
    <row r="978" spans="1:14" ht="15.75" customHeight="1">
      <c r="A978" s="423"/>
      <c r="E978" s="84"/>
      <c r="G978" s="71"/>
      <c r="H978" s="135"/>
      <c r="J978" s="135"/>
      <c r="K978" s="135"/>
      <c r="L978" s="71"/>
      <c r="M978" s="71"/>
      <c r="N978" s="135"/>
    </row>
    <row r="979" spans="1:14" ht="15.75" customHeight="1">
      <c r="A979" s="423"/>
      <c r="E979" s="84"/>
      <c r="G979" s="71"/>
      <c r="H979" s="135"/>
      <c r="J979" s="135"/>
      <c r="K979" s="135"/>
      <c r="L979" s="71"/>
      <c r="M979" s="71"/>
      <c r="N979" s="135"/>
    </row>
    <row r="980" spans="1:14" ht="15.75" customHeight="1">
      <c r="A980" s="423"/>
      <c r="E980" s="84"/>
      <c r="G980" s="71"/>
      <c r="H980" s="135"/>
      <c r="J980" s="135"/>
      <c r="K980" s="135"/>
      <c r="L980" s="71"/>
      <c r="M980" s="71"/>
      <c r="N980" s="135"/>
    </row>
    <row r="981" spans="1:14" ht="15.75" customHeight="1">
      <c r="A981" s="423"/>
      <c r="E981" s="84"/>
      <c r="G981" s="71"/>
      <c r="H981" s="135"/>
      <c r="J981" s="135"/>
      <c r="K981" s="135"/>
      <c r="L981" s="71"/>
      <c r="M981" s="71"/>
      <c r="N981" s="135"/>
    </row>
    <row r="982" spans="1:14" ht="15.75" customHeight="1">
      <c r="A982" s="423"/>
      <c r="E982" s="84"/>
      <c r="G982" s="71"/>
      <c r="H982" s="135"/>
      <c r="J982" s="135"/>
      <c r="K982" s="135"/>
      <c r="L982" s="71"/>
      <c r="M982" s="71"/>
      <c r="N982" s="135"/>
    </row>
    <row r="983" spans="1:14" ht="15.75" customHeight="1">
      <c r="A983" s="423"/>
      <c r="E983" s="84"/>
      <c r="G983" s="71"/>
      <c r="H983" s="135"/>
      <c r="J983" s="135"/>
      <c r="K983" s="135"/>
      <c r="L983" s="71"/>
      <c r="M983" s="71"/>
      <c r="N983" s="135"/>
    </row>
    <row r="984" spans="1:14" ht="15.75" customHeight="1">
      <c r="A984" s="423"/>
      <c r="E984" s="84"/>
      <c r="G984" s="71"/>
      <c r="H984" s="135"/>
      <c r="J984" s="135"/>
      <c r="K984" s="135"/>
      <c r="L984" s="71"/>
      <c r="M984" s="71"/>
      <c r="N984" s="135"/>
    </row>
    <row r="985" spans="1:14" ht="15.75" customHeight="1">
      <c r="A985" s="423"/>
      <c r="E985" s="84"/>
      <c r="G985" s="71"/>
      <c r="H985" s="135"/>
      <c r="J985" s="135"/>
      <c r="K985" s="135"/>
      <c r="L985" s="71"/>
      <c r="M985" s="71"/>
      <c r="N985" s="135"/>
    </row>
    <row r="986" spans="1:14" ht="15.75" customHeight="1">
      <c r="A986" s="423"/>
      <c r="E986" s="84"/>
      <c r="G986" s="71"/>
      <c r="H986" s="135"/>
      <c r="J986" s="135"/>
      <c r="K986" s="135"/>
      <c r="L986" s="71"/>
      <c r="M986" s="71"/>
      <c r="N986" s="135"/>
    </row>
    <row r="987" spans="1:14" ht="15.75" customHeight="1">
      <c r="A987" s="423"/>
      <c r="E987" s="84"/>
      <c r="G987" s="71"/>
      <c r="H987" s="135"/>
      <c r="J987" s="135"/>
      <c r="K987" s="135"/>
      <c r="L987" s="71"/>
      <c r="M987" s="71"/>
      <c r="N987" s="135"/>
    </row>
    <row r="988" spans="1:14" ht="15.75" customHeight="1">
      <c r="A988" s="423"/>
      <c r="E988" s="84"/>
      <c r="G988" s="71"/>
      <c r="H988" s="135"/>
      <c r="J988" s="135"/>
      <c r="K988" s="135"/>
      <c r="L988" s="71"/>
      <c r="M988" s="71"/>
      <c r="N988" s="135"/>
    </row>
    <row r="989" spans="1:14" ht="15.75" customHeight="1">
      <c r="A989" s="423"/>
      <c r="E989" s="84"/>
      <c r="G989" s="71"/>
      <c r="H989" s="135"/>
      <c r="J989" s="135"/>
      <c r="K989" s="135"/>
      <c r="L989" s="71"/>
      <c r="M989" s="71"/>
      <c r="N989" s="135"/>
    </row>
    <row r="990" spans="1:14" ht="15.75" customHeight="1">
      <c r="A990" s="423"/>
      <c r="E990" s="84"/>
      <c r="G990" s="71"/>
      <c r="H990" s="135"/>
      <c r="J990" s="135"/>
      <c r="K990" s="135"/>
      <c r="L990" s="71"/>
      <c r="M990" s="71"/>
      <c r="N990" s="135"/>
    </row>
    <row r="991" spans="1:14" ht="15.75" customHeight="1">
      <c r="A991" s="423"/>
      <c r="E991" s="84"/>
      <c r="G991" s="71"/>
      <c r="H991" s="135"/>
      <c r="J991" s="135"/>
      <c r="K991" s="135"/>
      <c r="L991" s="71"/>
      <c r="M991" s="71"/>
      <c r="N991" s="135"/>
    </row>
    <row r="992" spans="1:14" ht="15.75" customHeight="1">
      <c r="A992" s="423"/>
      <c r="E992" s="84"/>
      <c r="G992" s="71"/>
      <c r="H992" s="135"/>
      <c r="J992" s="135"/>
      <c r="K992" s="135"/>
      <c r="L992" s="71"/>
      <c r="M992" s="71"/>
      <c r="N992" s="135"/>
    </row>
    <row r="993" spans="1:14" ht="15.75" customHeight="1">
      <c r="A993" s="423"/>
      <c r="E993" s="84"/>
      <c r="G993" s="71"/>
      <c r="H993" s="135"/>
      <c r="J993" s="135"/>
      <c r="K993" s="135"/>
      <c r="L993" s="71"/>
      <c r="M993" s="71"/>
      <c r="N993" s="135"/>
    </row>
    <row r="994" spans="1:14" ht="15.75" customHeight="1">
      <c r="A994" s="423"/>
      <c r="E994" s="84"/>
      <c r="G994" s="71"/>
      <c r="H994" s="135"/>
      <c r="J994" s="135"/>
      <c r="K994" s="135"/>
      <c r="L994" s="71"/>
      <c r="M994" s="71"/>
      <c r="N994" s="135"/>
    </row>
    <row r="995" spans="1:14" ht="15.75" customHeight="1">
      <c r="A995" s="423"/>
      <c r="E995" s="84"/>
      <c r="G995" s="71"/>
      <c r="H995" s="135"/>
      <c r="J995" s="135"/>
      <c r="K995" s="135"/>
      <c r="L995" s="71"/>
      <c r="M995" s="71"/>
      <c r="N995" s="135"/>
    </row>
    <row r="996" spans="1:14" ht="15.75" customHeight="1">
      <c r="A996" s="423"/>
      <c r="E996" s="84"/>
      <c r="G996" s="71"/>
      <c r="H996" s="135"/>
      <c r="J996" s="135"/>
      <c r="K996" s="135"/>
      <c r="L996" s="71"/>
      <c r="M996" s="71"/>
      <c r="N996" s="135"/>
    </row>
    <row r="997" spans="1:14" ht="15.75" customHeight="1">
      <c r="A997" s="423"/>
      <c r="E997" s="84"/>
      <c r="G997" s="71"/>
      <c r="H997" s="135"/>
      <c r="J997" s="135"/>
      <c r="K997" s="135"/>
      <c r="L997" s="71"/>
      <c r="M997" s="71"/>
      <c r="N997" s="135"/>
    </row>
    <row r="998" spans="1:14" ht="15.75" customHeight="1">
      <c r="A998" s="423"/>
      <c r="E998" s="84"/>
      <c r="G998" s="71"/>
      <c r="H998" s="135"/>
      <c r="J998" s="135"/>
      <c r="K998" s="135"/>
      <c r="L998" s="71"/>
      <c r="M998" s="71"/>
      <c r="N998" s="135"/>
    </row>
    <row r="999" spans="1:14" ht="15.75" customHeight="1">
      <c r="A999" s="423"/>
      <c r="E999" s="84"/>
      <c r="G999" s="71"/>
      <c r="H999" s="135"/>
      <c r="J999" s="135"/>
      <c r="K999" s="135"/>
      <c r="L999" s="71"/>
      <c r="M999" s="71"/>
      <c r="N999" s="135"/>
    </row>
    <row r="1000" spans="1:14" ht="15.75" customHeight="1">
      <c r="A1000" s="423"/>
      <c r="E1000" s="84"/>
      <c r="G1000" s="71"/>
      <c r="H1000" s="135"/>
      <c r="J1000" s="135"/>
      <c r="K1000" s="135"/>
      <c r="L1000" s="71"/>
      <c r="M1000" s="71"/>
      <c r="N1000" s="135"/>
    </row>
    <row r="1001" spans="1:14" ht="15.75" customHeight="1">
      <c r="A1001" s="423"/>
      <c r="E1001" s="84"/>
      <c r="G1001" s="71"/>
      <c r="H1001" s="135"/>
      <c r="J1001" s="135"/>
      <c r="K1001" s="135"/>
      <c r="L1001" s="71"/>
      <c r="M1001" s="71"/>
      <c r="N1001" s="135"/>
    </row>
    <row r="1002" spans="1:14" ht="15.75" customHeight="1">
      <c r="A1002" s="423"/>
      <c r="E1002" s="84"/>
      <c r="G1002" s="71"/>
      <c r="H1002" s="135"/>
      <c r="J1002" s="135"/>
      <c r="K1002" s="135"/>
      <c r="L1002" s="71"/>
      <c r="M1002" s="71"/>
      <c r="N1002" s="135"/>
    </row>
    <row r="1003" spans="1:14" ht="15.75" customHeight="1">
      <c r="A1003" s="423"/>
      <c r="E1003" s="84"/>
      <c r="G1003" s="71"/>
      <c r="H1003" s="135"/>
      <c r="J1003" s="135"/>
      <c r="K1003" s="135"/>
      <c r="L1003" s="71"/>
      <c r="M1003" s="71"/>
      <c r="N1003" s="135"/>
    </row>
    <row r="1004" spans="1:14" ht="15.75" customHeight="1">
      <c r="A1004" s="423"/>
      <c r="E1004" s="84"/>
      <c r="G1004" s="71"/>
      <c r="H1004" s="135"/>
      <c r="J1004" s="135"/>
      <c r="K1004" s="135"/>
      <c r="L1004" s="71"/>
      <c r="M1004" s="71"/>
      <c r="N1004" s="135"/>
    </row>
    <row r="1005" spans="1:14" ht="15.75" customHeight="1">
      <c r="A1005" s="423"/>
      <c r="E1005" s="84"/>
      <c r="G1005" s="71"/>
      <c r="H1005" s="135"/>
      <c r="J1005" s="135"/>
      <c r="K1005" s="135"/>
      <c r="L1005" s="71"/>
      <c r="M1005" s="71"/>
      <c r="N1005" s="135"/>
    </row>
    <row r="1006" spans="1:14" ht="15.75" customHeight="1">
      <c r="A1006" s="423"/>
      <c r="E1006" s="84"/>
      <c r="G1006" s="71"/>
      <c r="H1006" s="135"/>
      <c r="J1006" s="135"/>
      <c r="K1006" s="135"/>
      <c r="L1006" s="71"/>
      <c r="M1006" s="71"/>
      <c r="N1006" s="135"/>
    </row>
    <row r="1007" spans="1:14" ht="15.75" customHeight="1">
      <c r="A1007" s="423"/>
      <c r="E1007" s="84"/>
      <c r="G1007" s="71"/>
      <c r="H1007" s="135"/>
      <c r="J1007" s="135"/>
      <c r="K1007" s="135"/>
      <c r="L1007" s="71"/>
      <c r="M1007" s="71"/>
      <c r="N1007" s="135"/>
    </row>
    <row r="1008" spans="1:14" ht="15.75" customHeight="1">
      <c r="A1008" s="423"/>
      <c r="E1008" s="84"/>
      <c r="G1008" s="71"/>
      <c r="H1008" s="135"/>
      <c r="J1008" s="135"/>
      <c r="K1008" s="135"/>
      <c r="L1008" s="71"/>
      <c r="M1008" s="71"/>
      <c r="N1008" s="135"/>
    </row>
    <row r="1009" spans="1:14" ht="15.75" customHeight="1">
      <c r="A1009" s="423"/>
      <c r="E1009" s="84"/>
      <c r="G1009" s="71"/>
      <c r="H1009" s="135"/>
      <c r="J1009" s="135"/>
      <c r="K1009" s="135"/>
      <c r="L1009" s="71"/>
      <c r="M1009" s="71"/>
      <c r="N1009" s="135"/>
    </row>
    <row r="1010" spans="1:14" ht="15.75" customHeight="1">
      <c r="A1010" s="423"/>
      <c r="E1010" s="84"/>
      <c r="G1010" s="71"/>
      <c r="H1010" s="135"/>
      <c r="J1010" s="135"/>
      <c r="K1010" s="135"/>
      <c r="L1010" s="71"/>
      <c r="M1010" s="71"/>
      <c r="N1010" s="135"/>
    </row>
    <row r="1011" spans="1:14" ht="15.75" customHeight="1">
      <c r="A1011" s="423"/>
      <c r="E1011" s="84"/>
      <c r="G1011" s="71"/>
      <c r="H1011" s="135"/>
      <c r="J1011" s="135"/>
      <c r="K1011" s="135"/>
      <c r="L1011" s="71"/>
      <c r="M1011" s="71"/>
      <c r="N1011" s="135"/>
    </row>
    <row r="1012" spans="1:14" ht="15.75" customHeight="1">
      <c r="A1012" s="423"/>
      <c r="E1012" s="84"/>
      <c r="G1012" s="71"/>
      <c r="H1012" s="135"/>
      <c r="J1012" s="135"/>
      <c r="K1012" s="135"/>
      <c r="L1012" s="71"/>
      <c r="M1012" s="71"/>
      <c r="N1012" s="135"/>
    </row>
    <row r="1013" spans="1:14" ht="15.75" customHeight="1">
      <c r="A1013" s="423"/>
      <c r="E1013" s="84"/>
      <c r="G1013" s="71"/>
      <c r="H1013" s="135"/>
      <c r="J1013" s="135"/>
      <c r="K1013" s="135"/>
      <c r="L1013" s="71"/>
      <c r="M1013" s="71"/>
      <c r="N1013" s="135"/>
    </row>
    <row r="1014" spans="1:14" ht="15.75" customHeight="1">
      <c r="A1014" s="423"/>
      <c r="E1014" s="84"/>
      <c r="G1014" s="71"/>
      <c r="H1014" s="135"/>
      <c r="J1014" s="135"/>
      <c r="K1014" s="135"/>
      <c r="L1014" s="71"/>
      <c r="M1014" s="71"/>
      <c r="N1014" s="135"/>
    </row>
    <row r="1015" spans="1:14" ht="15.75" customHeight="1">
      <c r="A1015" s="423"/>
      <c r="E1015" s="84"/>
      <c r="G1015" s="71"/>
      <c r="H1015" s="135"/>
      <c r="J1015" s="135"/>
      <c r="K1015" s="135"/>
      <c r="L1015" s="71"/>
      <c r="M1015" s="71"/>
      <c r="N1015" s="135"/>
    </row>
    <row r="1016" spans="1:14" ht="15.75" customHeight="1">
      <c r="A1016" s="423"/>
      <c r="E1016" s="84"/>
      <c r="G1016" s="71"/>
      <c r="H1016" s="135"/>
      <c r="J1016" s="135"/>
      <c r="K1016" s="135"/>
      <c r="L1016" s="71"/>
      <c r="M1016" s="71"/>
      <c r="N1016" s="135"/>
    </row>
    <row r="1017" spans="1:14" ht="15.75" customHeight="1">
      <c r="A1017" s="423"/>
      <c r="E1017" s="84"/>
      <c r="G1017" s="71"/>
      <c r="H1017" s="135"/>
      <c r="J1017" s="135"/>
      <c r="K1017" s="135"/>
      <c r="L1017" s="71"/>
      <c r="M1017" s="71"/>
      <c r="N1017" s="135"/>
    </row>
    <row r="1018" spans="1:14" ht="15.75" customHeight="1">
      <c r="A1018" s="423"/>
      <c r="E1018" s="84"/>
      <c r="G1018" s="71"/>
      <c r="H1018" s="135"/>
      <c r="J1018" s="135"/>
      <c r="K1018" s="135"/>
      <c r="L1018" s="71"/>
      <c r="M1018" s="71"/>
      <c r="N1018" s="135"/>
    </row>
    <row r="1019" spans="1:14" ht="15.75" customHeight="1">
      <c r="A1019" s="423"/>
      <c r="E1019" s="84"/>
      <c r="G1019" s="71"/>
      <c r="H1019" s="135"/>
      <c r="J1019" s="135"/>
      <c r="K1019" s="135"/>
      <c r="L1019" s="71"/>
      <c r="M1019" s="71"/>
      <c r="N1019" s="135"/>
    </row>
    <row r="1020" spans="1:14" ht="15.75" customHeight="1">
      <c r="A1020" s="423"/>
      <c r="E1020" s="84"/>
      <c r="G1020" s="71"/>
      <c r="H1020" s="135"/>
      <c r="J1020" s="135"/>
      <c r="K1020" s="135"/>
      <c r="L1020" s="71"/>
      <c r="M1020" s="71"/>
      <c r="N1020" s="135"/>
    </row>
    <row r="1021" spans="1:14" ht="15.75" customHeight="1">
      <c r="A1021" s="423"/>
      <c r="E1021" s="84"/>
      <c r="G1021" s="71"/>
      <c r="H1021" s="135"/>
      <c r="J1021" s="135"/>
      <c r="K1021" s="135"/>
      <c r="L1021" s="71"/>
      <c r="M1021" s="71"/>
      <c r="N1021" s="135"/>
    </row>
    <row r="1022" spans="1:14" ht="15.75" customHeight="1">
      <c r="A1022" s="423"/>
      <c r="E1022" s="84"/>
      <c r="G1022" s="71"/>
      <c r="H1022" s="135"/>
      <c r="J1022" s="135"/>
      <c r="K1022" s="135"/>
      <c r="L1022" s="71"/>
      <c r="M1022" s="71"/>
      <c r="N1022" s="135"/>
    </row>
    <row r="1023" spans="1:14" ht="15.75" customHeight="1">
      <c r="A1023" s="423"/>
      <c r="E1023" s="84"/>
      <c r="G1023" s="71"/>
      <c r="H1023" s="135"/>
      <c r="J1023" s="135"/>
      <c r="K1023" s="135"/>
      <c r="L1023" s="71"/>
      <c r="M1023" s="71"/>
      <c r="N1023" s="135"/>
    </row>
    <row r="1024" spans="1:14" ht="15.75" customHeight="1">
      <c r="A1024" s="423"/>
      <c r="E1024" s="84"/>
      <c r="G1024" s="71"/>
      <c r="H1024" s="135"/>
      <c r="J1024" s="135"/>
      <c r="K1024" s="135"/>
      <c r="L1024" s="71"/>
      <c r="M1024" s="71"/>
      <c r="N1024" s="135"/>
    </row>
    <row r="1025" spans="1:14" ht="15.75" customHeight="1">
      <c r="A1025" s="423"/>
      <c r="E1025" s="84"/>
      <c r="G1025" s="71"/>
      <c r="H1025" s="135"/>
      <c r="J1025" s="135"/>
      <c r="K1025" s="135"/>
      <c r="L1025" s="71"/>
      <c r="M1025" s="71"/>
      <c r="N1025" s="135"/>
    </row>
    <row r="1026" spans="1:14" ht="15.75" customHeight="1">
      <c r="A1026" s="423"/>
      <c r="E1026" s="84"/>
      <c r="G1026" s="71"/>
      <c r="H1026" s="135"/>
      <c r="J1026" s="135"/>
      <c r="K1026" s="135"/>
      <c r="L1026" s="71"/>
      <c r="M1026" s="71"/>
      <c r="N1026" s="135"/>
    </row>
    <row r="1027" spans="1:14" ht="15.75" customHeight="1">
      <c r="A1027" s="423"/>
      <c r="E1027" s="84"/>
      <c r="G1027" s="71"/>
      <c r="H1027" s="135"/>
      <c r="J1027" s="135"/>
      <c r="K1027" s="135"/>
      <c r="L1027" s="71"/>
      <c r="M1027" s="71"/>
      <c r="N1027" s="135"/>
    </row>
    <row r="1028" spans="1:14" ht="15.75" customHeight="1">
      <c r="A1028" s="423"/>
      <c r="E1028" s="84"/>
      <c r="G1028" s="71"/>
      <c r="H1028" s="135"/>
      <c r="J1028" s="135"/>
      <c r="K1028" s="135"/>
      <c r="L1028" s="71"/>
      <c r="M1028" s="71"/>
      <c r="N1028" s="135"/>
    </row>
    <row r="1029" spans="1:14" ht="15.75" customHeight="1">
      <c r="A1029" s="423"/>
      <c r="E1029" s="84"/>
      <c r="G1029" s="71"/>
      <c r="H1029" s="135"/>
      <c r="J1029" s="135"/>
      <c r="K1029" s="135"/>
      <c r="L1029" s="71"/>
      <c r="M1029" s="71"/>
      <c r="N1029" s="135"/>
    </row>
    <row r="1030" spans="1:14" ht="15.75" customHeight="1">
      <c r="A1030" s="423"/>
      <c r="E1030" s="84"/>
      <c r="G1030" s="71"/>
      <c r="H1030" s="135"/>
      <c r="J1030" s="135"/>
      <c r="K1030" s="135"/>
      <c r="L1030" s="71"/>
      <c r="M1030" s="71"/>
      <c r="N1030" s="135"/>
    </row>
    <row r="1031" spans="1:14" ht="15.75" customHeight="1">
      <c r="A1031" s="423"/>
      <c r="E1031" s="84"/>
      <c r="G1031" s="71"/>
      <c r="H1031" s="135"/>
      <c r="J1031" s="135"/>
      <c r="K1031" s="135"/>
      <c r="L1031" s="71"/>
      <c r="M1031" s="71"/>
      <c r="N1031" s="135"/>
    </row>
    <row r="1032" spans="1:14" ht="15.75" customHeight="1">
      <c r="A1032" s="423"/>
      <c r="E1032" s="84"/>
      <c r="G1032" s="71"/>
      <c r="H1032" s="135"/>
      <c r="J1032" s="135"/>
      <c r="K1032" s="135"/>
      <c r="L1032" s="71"/>
      <c r="M1032" s="71"/>
      <c r="N1032" s="135"/>
    </row>
    <row r="1033" spans="1:14" ht="15.75" customHeight="1">
      <c r="A1033" s="423"/>
      <c r="E1033" s="84"/>
      <c r="G1033" s="71"/>
      <c r="H1033" s="135"/>
      <c r="J1033" s="135"/>
      <c r="K1033" s="135"/>
      <c r="L1033" s="71"/>
      <c r="M1033" s="71"/>
      <c r="N1033" s="135"/>
    </row>
    <row r="1034" spans="1:14" ht="15.75" customHeight="1">
      <c r="A1034" s="423"/>
      <c r="E1034" s="84"/>
      <c r="G1034" s="71"/>
      <c r="H1034" s="135"/>
      <c r="J1034" s="135"/>
      <c r="K1034" s="135"/>
      <c r="L1034" s="71"/>
      <c r="M1034" s="71"/>
      <c r="N1034" s="135"/>
    </row>
    <row r="1035" spans="1:14" ht="15.75" customHeight="1">
      <c r="A1035" s="423"/>
      <c r="E1035" s="84"/>
      <c r="G1035" s="71"/>
      <c r="H1035" s="135"/>
      <c r="J1035" s="135"/>
      <c r="K1035" s="135"/>
      <c r="L1035" s="71"/>
      <c r="M1035" s="71"/>
      <c r="N1035" s="135"/>
    </row>
    <row r="1036" spans="1:14" ht="15.75" customHeight="1">
      <c r="A1036" s="423"/>
      <c r="E1036" s="84"/>
      <c r="G1036" s="71"/>
      <c r="H1036" s="135"/>
      <c r="J1036" s="135"/>
      <c r="K1036" s="135"/>
      <c r="L1036" s="71"/>
      <c r="M1036" s="71"/>
      <c r="N1036" s="135"/>
    </row>
    <row r="1037" spans="1:14" ht="15.75" customHeight="1">
      <c r="A1037" s="423"/>
      <c r="E1037" s="84"/>
      <c r="G1037" s="71"/>
      <c r="H1037" s="135"/>
      <c r="J1037" s="135"/>
      <c r="K1037" s="135"/>
      <c r="L1037" s="71"/>
      <c r="M1037" s="71"/>
      <c r="N1037" s="135"/>
    </row>
    <row r="1038" spans="1:14" ht="15.75" customHeight="1">
      <c r="A1038" s="423"/>
      <c r="E1038" s="84"/>
      <c r="G1038" s="71"/>
      <c r="H1038" s="135"/>
      <c r="J1038" s="135"/>
      <c r="K1038" s="135"/>
      <c r="L1038" s="71"/>
      <c r="M1038" s="71"/>
      <c r="N1038" s="135"/>
    </row>
    <row r="1039" spans="1:14" ht="15.75" customHeight="1">
      <c r="A1039" s="423"/>
      <c r="E1039" s="84"/>
      <c r="G1039" s="71"/>
      <c r="H1039" s="135"/>
      <c r="J1039" s="135"/>
      <c r="K1039" s="135"/>
      <c r="L1039" s="71"/>
      <c r="M1039" s="71"/>
      <c r="N1039" s="135"/>
    </row>
  </sheetData>
  <autoFilter ref="A11:AK231" xr:uid="{00000000-0009-0000-0000-000000000000}">
    <filterColumn colId="1">
      <filters blank="1">
        <filter val="Anläggningar för avfallshantering"/>
        <filter val="Åskskyddssystem"/>
        <filter val="Avfallsrum/miljörum"/>
        <filter val="Avloppsvattensystem i byggnad"/>
        <filter val="Balkonger"/>
        <filter val="Barnvagnsrum"/>
        <filter val="Belysningssystem"/>
        <filter val="Belysningstolpar"/>
        <filter val="Bevattning"/>
        <filter val="Bostäder"/>
        <filter val="Brandskyddsarbete"/>
        <filter val="Brandtekniska installationer"/>
        <filter val="Brunnar i dag- och dränvattenanläggning"/>
        <filter val="Byggnad invänigt"/>
        <filter val="Cykelrum"/>
        <filter val="Dagvattennät"/>
        <filter val="Datakommunikationssystem"/>
        <filter val="Dörrar till soprum"/>
        <filter val="Dörrar till trapphus"/>
        <filter val="Dörrar till vind"/>
        <filter val="Dränvattennät"/>
        <filter val="Driftutrymmen"/>
        <filter val="Elrum, Kabel-TV, Bredband"/>
        <filter val="Elsystem"/>
        <filter val="Energideklaration"/>
        <filter val="Enskilda utrymmen"/>
        <filter val="Entréer, portar mm"/>
        <filter val="Fasader"/>
        <filter val="Fasader, balkonger, loftgångar, altaner, terrasser, fönster, fönsterdörrar"/>
        <filter val="Fasadställningar"/>
        <filter val="Fjärrvärmecentral"/>
        <filter val="Fjärrvärmenät"/>
        <filter val="Fönster"/>
        <filter val="Försörjningssystem för flytande och gasformiga medier i byggnad"/>
        <filter val="Frånluftssystem"/>
        <filter val="Garage"/>
        <filter val="Gemensam utegård"/>
        <filter val="Gemensamma utrymmen"/>
        <filter val="Gräsytor"/>
        <filter val="Handledare/ledstång och handräcke"/>
        <filter val="Hängrännor"/>
        <filter val="Hiss"/>
        <filter val="Inhägnader och inpasseringsanordningar"/>
        <filter val="Källardörrar"/>
        <filter val="Källarförråd"/>
        <filter val="Källarkorridorer"/>
        <filter val="Lågspänningssystem för eldistribution"/>
        <filter val="Lek- och idrott"/>
        <filter val="Luftbehandlingssystem"/>
        <filter val="Luftdistributions-installationer"/>
        <filter val="Luftdon, skyddsgaller och skyddsnät"/>
        <filter val="Mangel"/>
        <filter val="Mangelrum"/>
        <filter val="Markbeläggningar"/>
        <filter val="Möteslokal"/>
        <filter val="Övriga elkraftsystem"/>
        <filter val="Övriga tekniska installationer"/>
        <filter val="Övriga teletekniska system"/>
        <filter val="Övrigt vattenanläggningar"/>
        <filter val="Parkeringsplatser"/>
        <filter val="Planteringskärl"/>
        <filter val="Planteringsytor"/>
        <filter val="Radon"/>
        <filter val="Skyddsrum"/>
        <filter val="Spillvattennät/avlopp"/>
        <filter val="Stuprör"/>
        <filter val="System för eldistribution"/>
        <filter val="System för ljud- och bildöverföring"/>
        <filter val="Tak"/>
        <filter val="Tak, undertak"/>
        <filter val="Tappvattensystem i byggnad"/>
        <filter val="Teknisk bevakning"/>
        <filter val="Tele- och datakommunikationssystem"/>
        <filter val="Tele- och datasystem"/>
        <filter val="Telefonsystem"/>
        <filter val="Telesignalsystem"/>
        <filter val="Tillträdesskydd"/>
        <filter val="Toalett/ duschutrymme i allmänna utrymmen"/>
        <filter val="Torkaggregat"/>
        <filter val="Torkrum"/>
        <filter val="Torktumlare"/>
        <filter val="Träd"/>
        <filter val="Trapphus"/>
        <filter val="Tvättbänk med blandare"/>
        <filter val="Tvättmaskin"/>
        <filter val="Tvättstuga"/>
        <filter val="Utemiljö"/>
        <filter val="Uteplatser, Möbler, etc."/>
        <filter val="Uthyrningslokaler"/>
        <filter val="Utrustning för bilparkeringsplatser och cykelparkering  i utemiljö."/>
        <filter val="Utrustning i utemiljö"/>
        <filter val="Utrustning och utrymmen för avfallshantering"/>
        <filter val="VA-, VVS-, Kyl- och processmediesystem"/>
        <filter val="VA, fjärrvärme, fjärrkylnät m.m. i mark"/>
        <filter val="Värmedistributions-installationer"/>
        <filter val="Värmeproduktions-installationer"/>
        <filter val="Värmesystem i byggnad"/>
        <filter val="Vattenanläggningar"/>
        <filter val="Vattenledningsnät"/>
        <filter val="Vegetationsytor"/>
        <filter val="Ventilationshuvar, Luftningsstosar, plåtdelar"/>
        <filter val="Vindskivor"/>
        <filter val="Vindsutrymme"/>
        <filter val="Ytor av sten, tegel, betongplattor och asfalt"/>
        <filter val="Yttertak, skärmtak"/>
      </filters>
    </filterColumn>
  </autoFilter>
  <mergeCells count="4">
    <mergeCell ref="A1:N1"/>
    <mergeCell ref="A3:B3"/>
    <mergeCell ref="A6:B6"/>
    <mergeCell ref="A9:B9"/>
  </mergeCells>
  <hyperlinks>
    <hyperlink ref="N8" r:id="rId1" xr:uid="{00000000-0004-0000-0000-000000000000}"/>
    <hyperlink ref="G221" r:id="rId2" xr:uid="{00000000-0004-0000-0000-000001000000}"/>
  </hyperlinks>
  <pageMargins left="0.70866141732283472" right="0.70866141732283472" top="0.74803149606299213" bottom="0.74803149606299213" header="0" footer="0"/>
  <pageSetup paperSize="6" fitToHeight="0" orientation="landscape"/>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Underhållsplan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Fredrik Leander</cp:lastModifiedBy>
  <dcterms:modified xsi:type="dcterms:W3CDTF">2024-03-30T07:24:01Z</dcterms:modified>
</cp:coreProperties>
</file>